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nimddenhaag-my.sharepoint.com/personal/hanschristiaanse_nimd_org/Documents/Hans C NIMD/NIMD 2025/BUR FIPP Report 2024/Final version submitted 31.03.2025/"/>
    </mc:Choice>
  </mc:AlternateContent>
  <xr:revisionPtr revIDLastSave="16" documentId="8_{EE93215F-3A79-4D7C-A776-2AFC420BCF77}" xr6:coauthVersionLast="47" xr6:coauthVersionMax="47" xr10:uidLastSave="{FA424461-DE1D-4273-A5C8-4DAD97C6721A}"/>
  <bookViews>
    <workbookView xWindow="-28920" yWindow="-120" windowWidth="29040" windowHeight="15720" xr2:uid="{71513E19-37D6-481E-87E8-6BF092A0823F}"/>
  </bookViews>
  <sheets>
    <sheet name="Report 2024 FIPP Total" sheetId="1" r:id="rId1"/>
    <sheet name="ETAT DES PARTENAIRES FIPP 2024"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 l="1"/>
  <c r="E11" i="2"/>
  <c r="C10" i="2"/>
  <c r="C9" i="2"/>
  <c r="D8" i="2"/>
  <c r="E8" i="2" s="1"/>
  <c r="C7" i="2"/>
  <c r="D6" i="2"/>
  <c r="C6" i="2"/>
  <c r="E6" i="2" s="1"/>
  <c r="E5" i="2"/>
  <c r="D107" i="1"/>
  <c r="C107" i="1"/>
  <c r="K106" i="1"/>
  <c r="J106" i="1"/>
  <c r="L106" i="1" s="1"/>
  <c r="I106" i="1"/>
  <c r="M106" i="1" s="1"/>
  <c r="M105" i="1"/>
  <c r="L105" i="1"/>
  <c r="J105" i="1"/>
  <c r="I105" i="1"/>
  <c r="K105" i="1" s="1"/>
  <c r="L104" i="1"/>
  <c r="J104" i="1"/>
  <c r="J107" i="1" s="1"/>
  <c r="I104" i="1"/>
  <c r="M104" i="1" s="1"/>
  <c r="I103" i="1"/>
  <c r="M103" i="1" s="1"/>
  <c r="D103" i="1"/>
  <c r="D108" i="1" s="1"/>
  <c r="C103" i="1"/>
  <c r="C108" i="1" s="1"/>
  <c r="M102" i="1"/>
  <c r="J102" i="1"/>
  <c r="L102" i="1" s="1"/>
  <c r="I102" i="1"/>
  <c r="K102" i="1" s="1"/>
  <c r="M101" i="1"/>
  <c r="K101" i="1"/>
  <c r="K103" i="1" s="1"/>
  <c r="J101" i="1"/>
  <c r="J103" i="1" s="1"/>
  <c r="J108" i="1" s="1"/>
  <c r="I101" i="1"/>
  <c r="C100" i="1"/>
  <c r="I99" i="1"/>
  <c r="M99" i="1" s="1"/>
  <c r="D99" i="1"/>
  <c r="C99" i="1"/>
  <c r="M98" i="1"/>
  <c r="J98" i="1"/>
  <c r="L98" i="1" s="1"/>
  <c r="I98" i="1"/>
  <c r="K98" i="1" s="1"/>
  <c r="M97" i="1"/>
  <c r="K97" i="1"/>
  <c r="J97" i="1"/>
  <c r="L97" i="1" s="1"/>
  <c r="I97" i="1"/>
  <c r="M96" i="1"/>
  <c r="K96" i="1"/>
  <c r="J96" i="1"/>
  <c r="J99" i="1" s="1"/>
  <c r="I96" i="1"/>
  <c r="D95" i="1"/>
  <c r="D100" i="1" s="1"/>
  <c r="C95" i="1"/>
  <c r="L94" i="1"/>
  <c r="K94" i="1"/>
  <c r="J94" i="1"/>
  <c r="I94" i="1"/>
  <c r="M94" i="1" s="1"/>
  <c r="L93" i="1"/>
  <c r="K93" i="1"/>
  <c r="J93" i="1"/>
  <c r="I93" i="1"/>
  <c r="M93" i="1" s="1"/>
  <c r="M92" i="1"/>
  <c r="J92" i="1"/>
  <c r="L92" i="1" s="1"/>
  <c r="L95" i="1" s="1"/>
  <c r="I92" i="1"/>
  <c r="K92" i="1" s="1"/>
  <c r="K95" i="1" s="1"/>
  <c r="D90" i="1"/>
  <c r="C90" i="1"/>
  <c r="L89" i="1"/>
  <c r="K89" i="1"/>
  <c r="J89" i="1"/>
  <c r="I89" i="1"/>
  <c r="M89" i="1" s="1"/>
  <c r="M88" i="1"/>
  <c r="J88" i="1"/>
  <c r="L88" i="1" s="1"/>
  <c r="I88" i="1"/>
  <c r="K88" i="1" s="1"/>
  <c r="M87" i="1"/>
  <c r="K87" i="1"/>
  <c r="J87" i="1"/>
  <c r="L87" i="1" s="1"/>
  <c r="I87" i="1"/>
  <c r="K86" i="1"/>
  <c r="J86" i="1"/>
  <c r="L86" i="1" s="1"/>
  <c r="I86" i="1"/>
  <c r="M86" i="1" s="1"/>
  <c r="M85" i="1"/>
  <c r="L85" i="1"/>
  <c r="J85" i="1"/>
  <c r="I85" i="1"/>
  <c r="K85" i="1" s="1"/>
  <c r="L84" i="1"/>
  <c r="J84" i="1"/>
  <c r="J90" i="1" s="1"/>
  <c r="I84" i="1"/>
  <c r="M84" i="1" s="1"/>
  <c r="I83" i="1"/>
  <c r="M83" i="1" s="1"/>
  <c r="D83" i="1"/>
  <c r="C83" i="1"/>
  <c r="M82" i="1"/>
  <c r="J82" i="1"/>
  <c r="L82" i="1" s="1"/>
  <c r="I82" i="1"/>
  <c r="K82" i="1" s="1"/>
  <c r="M81" i="1"/>
  <c r="K81" i="1"/>
  <c r="J81" i="1"/>
  <c r="J83" i="1" s="1"/>
  <c r="I81" i="1"/>
  <c r="J80" i="1"/>
  <c r="D80" i="1"/>
  <c r="D91" i="1" s="1"/>
  <c r="C80" i="1"/>
  <c r="C91" i="1" s="1"/>
  <c r="J79" i="1"/>
  <c r="L79" i="1" s="1"/>
  <c r="I79" i="1"/>
  <c r="M79" i="1" s="1"/>
  <c r="L78" i="1"/>
  <c r="K78" i="1"/>
  <c r="J78" i="1"/>
  <c r="I78" i="1"/>
  <c r="M78" i="1" s="1"/>
  <c r="L77" i="1"/>
  <c r="L80" i="1" s="1"/>
  <c r="K77" i="1"/>
  <c r="J77" i="1"/>
  <c r="I77" i="1"/>
  <c r="M77" i="1" s="1"/>
  <c r="D76" i="1"/>
  <c r="D75" i="1"/>
  <c r="C75" i="1"/>
  <c r="L74" i="1"/>
  <c r="K74" i="1"/>
  <c r="J74" i="1"/>
  <c r="I74" i="1"/>
  <c r="M74" i="1" s="1"/>
  <c r="L73" i="1"/>
  <c r="K73" i="1"/>
  <c r="J73" i="1"/>
  <c r="I73" i="1"/>
  <c r="M73" i="1" s="1"/>
  <c r="M72" i="1"/>
  <c r="J72" i="1"/>
  <c r="L72" i="1" s="1"/>
  <c r="L75" i="1" s="1"/>
  <c r="I72" i="1"/>
  <c r="K72" i="1" s="1"/>
  <c r="K75" i="1" s="1"/>
  <c r="D71" i="1"/>
  <c r="C71" i="1"/>
  <c r="L70" i="1"/>
  <c r="J70" i="1"/>
  <c r="I70" i="1"/>
  <c r="M70" i="1" s="1"/>
  <c r="J69" i="1"/>
  <c r="L69" i="1" s="1"/>
  <c r="I69" i="1"/>
  <c r="M69" i="1" s="1"/>
  <c r="L68" i="1"/>
  <c r="K68" i="1"/>
  <c r="J68" i="1"/>
  <c r="I68" i="1"/>
  <c r="M68" i="1" s="1"/>
  <c r="L67" i="1"/>
  <c r="K67" i="1"/>
  <c r="J67" i="1"/>
  <c r="I67" i="1"/>
  <c r="M67" i="1" s="1"/>
  <c r="M66" i="1"/>
  <c r="J66" i="1"/>
  <c r="L66" i="1" s="1"/>
  <c r="I66" i="1"/>
  <c r="K66" i="1" s="1"/>
  <c r="M65" i="1"/>
  <c r="K65" i="1"/>
  <c r="J65" i="1"/>
  <c r="J71" i="1" s="1"/>
  <c r="I65" i="1"/>
  <c r="M64" i="1"/>
  <c r="K64" i="1"/>
  <c r="J64" i="1"/>
  <c r="L64" i="1" s="1"/>
  <c r="I64" i="1"/>
  <c r="I71" i="1" s="1"/>
  <c r="M71" i="1" s="1"/>
  <c r="D63" i="1"/>
  <c r="C63" i="1"/>
  <c r="C76" i="1" s="1"/>
  <c r="L62" i="1"/>
  <c r="K62" i="1"/>
  <c r="J62" i="1"/>
  <c r="I62" i="1"/>
  <c r="M62" i="1" s="1"/>
  <c r="L61" i="1"/>
  <c r="K61" i="1"/>
  <c r="J61" i="1"/>
  <c r="I61" i="1"/>
  <c r="M61" i="1" s="1"/>
  <c r="M60" i="1"/>
  <c r="L60" i="1"/>
  <c r="K60" i="1"/>
  <c r="H60" i="1"/>
  <c r="L59" i="1"/>
  <c r="J59" i="1"/>
  <c r="I59" i="1"/>
  <c r="M59" i="1" s="1"/>
  <c r="H59" i="1"/>
  <c r="M58" i="1"/>
  <c r="K58" i="1"/>
  <c r="J58" i="1"/>
  <c r="L58" i="1" s="1"/>
  <c r="I58" i="1"/>
  <c r="M57" i="1"/>
  <c r="L57" i="1"/>
  <c r="L63" i="1" s="1"/>
  <c r="J57" i="1"/>
  <c r="J63" i="1" s="1"/>
  <c r="I57" i="1"/>
  <c r="K57" i="1" s="1"/>
  <c r="D53" i="1"/>
  <c r="C53" i="1"/>
  <c r="M52" i="1"/>
  <c r="L52" i="1"/>
  <c r="K52" i="1"/>
  <c r="M51" i="1"/>
  <c r="L51" i="1"/>
  <c r="K51" i="1"/>
  <c r="M50" i="1"/>
  <c r="J50" i="1"/>
  <c r="L50" i="1" s="1"/>
  <c r="I50" i="1"/>
  <c r="K50" i="1" s="1"/>
  <c r="M49" i="1"/>
  <c r="K49" i="1"/>
  <c r="J49" i="1"/>
  <c r="L49" i="1" s="1"/>
  <c r="I49" i="1"/>
  <c r="M48" i="1"/>
  <c r="K48" i="1"/>
  <c r="J48" i="1"/>
  <c r="L48" i="1" s="1"/>
  <c r="I48" i="1"/>
  <c r="M47" i="1"/>
  <c r="L47" i="1"/>
  <c r="J47" i="1"/>
  <c r="I47" i="1"/>
  <c r="K47" i="1" s="1"/>
  <c r="M46" i="1"/>
  <c r="L46" i="1"/>
  <c r="K46" i="1"/>
  <c r="M45" i="1"/>
  <c r="L45" i="1"/>
  <c r="J45" i="1"/>
  <c r="I45" i="1"/>
  <c r="K45" i="1" s="1"/>
  <c r="L44" i="1"/>
  <c r="J44" i="1"/>
  <c r="I44" i="1"/>
  <c r="M44" i="1" s="1"/>
  <c r="J43" i="1"/>
  <c r="L43" i="1" s="1"/>
  <c r="I43" i="1"/>
  <c r="M43" i="1" s="1"/>
  <c r="L42" i="1"/>
  <c r="K42" i="1"/>
  <c r="J42" i="1"/>
  <c r="I42" i="1"/>
  <c r="M42" i="1" s="1"/>
  <c r="L41" i="1"/>
  <c r="K41" i="1"/>
  <c r="J41" i="1"/>
  <c r="I41" i="1"/>
  <c r="M41" i="1" s="1"/>
  <c r="M40" i="1"/>
  <c r="J40" i="1"/>
  <c r="L40" i="1" s="1"/>
  <c r="I40" i="1"/>
  <c r="K40" i="1" s="1"/>
  <c r="M39" i="1"/>
  <c r="K39" i="1"/>
  <c r="J39" i="1"/>
  <c r="L39" i="1" s="1"/>
  <c r="I39" i="1"/>
  <c r="M38" i="1"/>
  <c r="K38" i="1"/>
  <c r="J38" i="1"/>
  <c r="L38" i="1" s="1"/>
  <c r="I38" i="1"/>
  <c r="M37" i="1"/>
  <c r="L37" i="1"/>
  <c r="J37" i="1"/>
  <c r="I37" i="1"/>
  <c r="K37" i="1" s="1"/>
  <c r="L36" i="1"/>
  <c r="J36" i="1"/>
  <c r="I36" i="1"/>
  <c r="M36" i="1" s="1"/>
  <c r="J35" i="1"/>
  <c r="L35" i="1" s="1"/>
  <c r="I35" i="1"/>
  <c r="M35" i="1" s="1"/>
  <c r="K34" i="1"/>
  <c r="I34" i="1"/>
  <c r="M34" i="1" s="1"/>
  <c r="H34" i="1"/>
  <c r="J34" i="1" s="1"/>
  <c r="I31" i="1"/>
  <c r="D31" i="1"/>
  <c r="C31" i="1"/>
  <c r="J30" i="1"/>
  <c r="K29" i="1"/>
  <c r="J29" i="1"/>
  <c r="L29" i="1" s="1"/>
  <c r="I29" i="1"/>
  <c r="L28" i="1"/>
  <c r="L31" i="1" s="1"/>
  <c r="K28" i="1"/>
  <c r="K31" i="1" s="1"/>
  <c r="J28" i="1"/>
  <c r="J31" i="1" s="1"/>
  <c r="I28" i="1"/>
  <c r="I25" i="1"/>
  <c r="M25" i="1" s="1"/>
  <c r="D25" i="1"/>
  <c r="C25" i="1"/>
  <c r="M24" i="1"/>
  <c r="K24" i="1"/>
  <c r="J24" i="1"/>
  <c r="L24" i="1" s="1"/>
  <c r="I24" i="1"/>
  <c r="M23" i="1"/>
  <c r="L23" i="1"/>
  <c r="L25" i="1" s="1"/>
  <c r="J23" i="1"/>
  <c r="J25" i="1" s="1"/>
  <c r="I23" i="1"/>
  <c r="K23" i="1" s="1"/>
  <c r="K25" i="1" s="1"/>
  <c r="I20" i="1"/>
  <c r="M20" i="1" s="1"/>
  <c r="D20" i="1"/>
  <c r="C20" i="1"/>
  <c r="K19" i="1"/>
  <c r="I19" i="1"/>
  <c r="M19" i="1" s="1"/>
  <c r="H19" i="1"/>
  <c r="J19" i="1" s="1"/>
  <c r="J18" i="1"/>
  <c r="L18" i="1" s="1"/>
  <c r="I18" i="1"/>
  <c r="M18" i="1" s="1"/>
  <c r="H18" i="1"/>
  <c r="D15" i="1"/>
  <c r="D54" i="1" s="1"/>
  <c r="C15" i="1"/>
  <c r="C54" i="1" s="1"/>
  <c r="L13" i="1"/>
  <c r="K13" i="1"/>
  <c r="J13" i="1"/>
  <c r="I13" i="1"/>
  <c r="M13" i="1" s="1"/>
  <c r="L12" i="1"/>
  <c r="K12" i="1"/>
  <c r="J12" i="1"/>
  <c r="I12" i="1"/>
  <c r="M12" i="1" s="1"/>
  <c r="M11" i="1"/>
  <c r="J11" i="1"/>
  <c r="L11" i="1" s="1"/>
  <c r="I11" i="1"/>
  <c r="K11" i="1" s="1"/>
  <c r="M10" i="1"/>
  <c r="K10" i="1"/>
  <c r="J10" i="1"/>
  <c r="L10" i="1" s="1"/>
  <c r="I10" i="1"/>
  <c r="M9" i="1"/>
  <c r="K9" i="1"/>
  <c r="J9" i="1"/>
  <c r="L9" i="1" s="1"/>
  <c r="I9" i="1"/>
  <c r="M8" i="1"/>
  <c r="I8" i="1"/>
  <c r="K8" i="1" s="1"/>
  <c r="H8" i="1"/>
  <c r="J8" i="1" s="1"/>
  <c r="E9" i="2" l="1"/>
  <c r="D7" i="2"/>
  <c r="D12" i="2" s="1"/>
  <c r="D10" i="2"/>
  <c r="E10" i="2" s="1"/>
  <c r="C12" i="2"/>
  <c r="D9" i="2"/>
  <c r="L90" i="1"/>
  <c r="K80" i="1"/>
  <c r="J53" i="1"/>
  <c r="L34" i="1"/>
  <c r="L53" i="1" s="1"/>
  <c r="L8" i="1"/>
  <c r="L15" i="1" s="1"/>
  <c r="J15" i="1"/>
  <c r="K99" i="1"/>
  <c r="L19" i="1"/>
  <c r="J20" i="1"/>
  <c r="K15" i="1"/>
  <c r="C109" i="1"/>
  <c r="C111" i="1" s="1"/>
  <c r="J91" i="1"/>
  <c r="K100" i="1"/>
  <c r="L107" i="1"/>
  <c r="L20" i="1"/>
  <c r="J76" i="1"/>
  <c r="D109" i="1"/>
  <c r="D111" i="1" s="1"/>
  <c r="K83" i="1"/>
  <c r="I53" i="1"/>
  <c r="M53" i="1" s="1"/>
  <c r="I107" i="1"/>
  <c r="K36" i="1"/>
  <c r="K44" i="1"/>
  <c r="K59" i="1"/>
  <c r="K63" i="1" s="1"/>
  <c r="L65" i="1"/>
  <c r="L71" i="1" s="1"/>
  <c r="L76" i="1" s="1"/>
  <c r="K70" i="1"/>
  <c r="I80" i="1"/>
  <c r="L81" i="1"/>
  <c r="L83" i="1" s="1"/>
  <c r="L91" i="1" s="1"/>
  <c r="K84" i="1"/>
  <c r="K90" i="1" s="1"/>
  <c r="L101" i="1"/>
  <c r="L103" i="1" s="1"/>
  <c r="K104" i="1"/>
  <c r="K107" i="1" s="1"/>
  <c r="K108" i="1" s="1"/>
  <c r="K18" i="1"/>
  <c r="K20" i="1" s="1"/>
  <c r="K35" i="1"/>
  <c r="K53" i="1" s="1"/>
  <c r="K43" i="1"/>
  <c r="I63" i="1"/>
  <c r="K69" i="1"/>
  <c r="K71" i="1" s="1"/>
  <c r="I75" i="1"/>
  <c r="M75" i="1" s="1"/>
  <c r="K79" i="1"/>
  <c r="I95" i="1"/>
  <c r="L96" i="1"/>
  <c r="L99" i="1" s="1"/>
  <c r="L100" i="1" s="1"/>
  <c r="I90" i="1"/>
  <c r="M90" i="1" s="1"/>
  <c r="I15" i="1"/>
  <c r="J75" i="1"/>
  <c r="J95" i="1"/>
  <c r="J100" i="1" s="1"/>
  <c r="E7" i="2" l="1"/>
  <c r="E12" i="2" s="1"/>
  <c r="L109" i="1"/>
  <c r="D112" i="1"/>
  <c r="D113" i="1"/>
  <c r="C112" i="1"/>
  <c r="C113" i="1"/>
  <c r="K76" i="1"/>
  <c r="L108" i="1"/>
  <c r="K54" i="1"/>
  <c r="I100" i="1"/>
  <c r="M100" i="1" s="1"/>
  <c r="M95" i="1"/>
  <c r="I108" i="1"/>
  <c r="M108" i="1" s="1"/>
  <c r="M107" i="1"/>
  <c r="I76" i="1"/>
  <c r="M63" i="1"/>
  <c r="I91" i="1"/>
  <c r="M91" i="1" s="1"/>
  <c r="M80" i="1"/>
  <c r="K91" i="1"/>
  <c r="I54" i="1"/>
  <c r="M15" i="1"/>
  <c r="J54" i="1"/>
  <c r="L54" i="1"/>
  <c r="J109" i="1"/>
  <c r="J116" i="1" s="1"/>
  <c r="K109" i="1" l="1"/>
  <c r="K111" i="1"/>
  <c r="C114" i="1"/>
  <c r="C115" i="1"/>
  <c r="L111" i="1"/>
  <c r="I109" i="1"/>
  <c r="M109" i="1" s="1"/>
  <c r="M76" i="1"/>
  <c r="J111" i="1"/>
  <c r="D114" i="1"/>
  <c r="D115" i="1" s="1"/>
  <c r="M54" i="1"/>
  <c r="I111" i="1"/>
  <c r="I112" i="1" l="1"/>
  <c r="I113" i="1" s="1"/>
  <c r="M111" i="1"/>
  <c r="K112" i="1"/>
  <c r="K113" i="1"/>
  <c r="K115" i="1" s="1"/>
  <c r="J112" i="1"/>
  <c r="J113" i="1"/>
  <c r="J115" i="1" s="1"/>
  <c r="L112" i="1"/>
  <c r="L113" i="1" s="1"/>
  <c r="L115" i="1" s="1"/>
  <c r="M113" i="1" l="1"/>
  <c r="I115" i="1"/>
</calcChain>
</file>

<file path=xl/sharedStrings.xml><?xml version="1.0" encoding="utf-8"?>
<sst xmlns="http://schemas.openxmlformats.org/spreadsheetml/2006/main" count="286" uniqueCount="154">
  <si>
    <t>1 EURO</t>
  </si>
  <si>
    <t>Euro</t>
  </si>
  <si>
    <t>Intitulé code</t>
  </si>
  <si>
    <t>Partenaire</t>
  </si>
  <si>
    <t>Budget 2024</t>
  </si>
  <si>
    <t>Réalisations  de janvier à décembre  2024</t>
  </si>
  <si>
    <t>Ecart de réalisation</t>
  </si>
  <si>
    <t>Taux d'exécution</t>
  </si>
  <si>
    <t>Number of units</t>
  </si>
  <si>
    <t>Unit</t>
  </si>
  <si>
    <t>Unit cost</t>
  </si>
  <si>
    <t>Total cost</t>
  </si>
  <si>
    <t>EURO</t>
  </si>
  <si>
    <t>BIF</t>
  </si>
  <si>
    <t>%</t>
  </si>
  <si>
    <t>1. Salaries local staff Burundi NIMD Office</t>
  </si>
  <si>
    <t>1.1 NIMD Programme Coodinator</t>
  </si>
  <si>
    <t>NIMD</t>
  </si>
  <si>
    <t>Per month</t>
  </si>
  <si>
    <t>1.2 NIMD Finance Manager</t>
  </si>
  <si>
    <t>1.3 NIMD Project Manager</t>
  </si>
  <si>
    <t>1.4 NIMD Support staff</t>
  </si>
  <si>
    <t>1.4.1 Assistante Administrativ et financière</t>
  </si>
  <si>
    <t>1.4.2 Chauffeur-logisticien</t>
  </si>
  <si>
    <t>1.4.3 Stagiaire réceptionniste</t>
  </si>
  <si>
    <t>Sub Total</t>
  </si>
  <si>
    <t xml:space="preserve">2 International programme advise and quality compliance NIMD The Hague </t>
  </si>
  <si>
    <t>2.1 NIMD Grant Coordinator, PMEL advisor and Programme &amp; Knowledge Advisor</t>
  </si>
  <si>
    <t>Per day</t>
  </si>
  <si>
    <t>2.2 NIMD Financial and Contract Specialist and Controller</t>
  </si>
  <si>
    <t>3 International travel (programme advise)</t>
  </si>
  <si>
    <t xml:space="preserve">3.1 Flights </t>
  </si>
  <si>
    <t>Per ticket</t>
  </si>
  <si>
    <t>3.2 Subsistence during mission</t>
  </si>
  <si>
    <t>4. Equipment and furniture</t>
  </si>
  <si>
    <t>4.1 Laptop, printer and software</t>
  </si>
  <si>
    <t>Per set</t>
  </si>
  <si>
    <t xml:space="preserve">4.2 Office furniture </t>
  </si>
  <si>
    <t>Lumpsum</t>
  </si>
  <si>
    <t>4.3 Project vehicle</t>
  </si>
  <si>
    <t>Per vehicle</t>
  </si>
  <si>
    <t>5. NIMD National Burundi Office</t>
  </si>
  <si>
    <t>5.1 Office rent</t>
  </si>
  <si>
    <t>5.1.1 Eau et electricité</t>
  </si>
  <si>
    <t>5.1.2 Produit et nettoyage bureau</t>
  </si>
  <si>
    <t>5.1.3 Entretien et petites réparation bureau</t>
  </si>
  <si>
    <t>5.1.4 Sécurité bureau</t>
  </si>
  <si>
    <t>5.2 Office supplies</t>
  </si>
  <si>
    <t>5.2.1 Abonnement journaux</t>
  </si>
  <si>
    <t>Per annum</t>
  </si>
  <si>
    <t>5.2.2 Publication des appels d'offres</t>
  </si>
  <si>
    <t>Per trimester</t>
  </si>
  <si>
    <t>5.2.3 Pause-café</t>
  </si>
  <si>
    <t>5.3 Internet and Wi-Fi</t>
  </si>
  <si>
    <t>5.4 Fuel and transport costs</t>
  </si>
  <si>
    <t>5.4.1 Immatriculation-carte de contrôle technique -assurance véhicule</t>
  </si>
  <si>
    <t>5.4.2 Entretien et réparation véhicule</t>
  </si>
  <si>
    <t>5.5  Advise services (Legal, HRM, IT)</t>
  </si>
  <si>
    <t xml:space="preserve">5.6 Financial Management strenghtening and control </t>
  </si>
  <si>
    <t xml:space="preserve">5.7 Financial services (bank charges etc.) </t>
  </si>
  <si>
    <t>5.8  Communication de service</t>
  </si>
  <si>
    <t>5.8.1  Frais de port et de courrier</t>
  </si>
  <si>
    <t>5.8. 2  Panneau lumineux</t>
  </si>
  <si>
    <t>Total 1-5</t>
  </si>
  <si>
    <t xml:space="preserve">6. Activities </t>
  </si>
  <si>
    <t>A1.1.1 Identification et consultations initiales avec les parties prenantes (sensibilisation, lobby, pladoyer des acteurs politiques)</t>
  </si>
  <si>
    <t>A1.1.3.a.  Organiser un atelier de lancement des mises à jour des programmes politiques contextualisés, sous le haut patronage du Ministre ayant l'interieur dans ses attributions</t>
  </si>
  <si>
    <t>Per session</t>
  </si>
  <si>
    <t>A.1.1.3 b Développement du contenu de plans stratégiques</t>
  </si>
  <si>
    <t>Per consultation international</t>
  </si>
  <si>
    <r>
      <t xml:space="preserve">A1.1.4. Organiser un </t>
    </r>
    <r>
      <rPr>
        <i/>
        <sz val="10"/>
        <color theme="1"/>
        <rFont val="Aptos Display"/>
        <family val="2"/>
        <scheme val="major"/>
      </rPr>
      <t xml:space="preserve">atelier national </t>
    </r>
    <r>
      <rPr>
        <sz val="10"/>
        <color theme="1"/>
        <rFont val="Aptos Display"/>
        <family val="2"/>
        <scheme val="major"/>
      </rPr>
      <t>de recyclage/formation des partis politiques sur les concepts, les principes et la  méthodologie de</t>
    </r>
    <r>
      <rPr>
        <i/>
        <sz val="10"/>
        <color theme="1"/>
        <rFont val="Aptos Display"/>
        <family val="2"/>
        <scheme val="major"/>
      </rPr>
      <t xml:space="preserve"> l'actualisation de leurs plans stratégiques</t>
    </r>
    <r>
      <rPr>
        <sz val="10"/>
        <color theme="1"/>
        <rFont val="Aptos Display"/>
        <family val="2"/>
        <scheme val="major"/>
      </rPr>
      <t xml:space="preserve"> qui répondent aux besoins du pays (PND 2018-2027, Vision 2025, Vision Burundi pays émergent en 2040 et développé en 2060) </t>
    </r>
    <r>
      <rPr>
        <i/>
        <sz val="10"/>
        <color theme="1"/>
        <rFont val="Aptos Display"/>
        <family val="2"/>
        <scheme val="major"/>
      </rPr>
      <t>3 jours de travail en dehors de Bujumbura</t>
    </r>
  </si>
  <si>
    <r>
      <t xml:space="preserve">A1.1.5 Accompagner techniquement les partis politiques (10) dans le processus d'actualisation de leurs plans stratégiques adaptés aux besoin du pays (PND 2018-2027, Vision 2025, Vision Burundi pays émergent en 2040 et développé en 2060): </t>
    </r>
    <r>
      <rPr>
        <b/>
        <i/>
        <sz val="10"/>
        <color theme="1"/>
        <rFont val="Aptos Display"/>
        <family val="2"/>
        <scheme val="major"/>
      </rPr>
      <t>3jrs/PP période de 4 mois</t>
    </r>
  </si>
  <si>
    <t>A1.1.6. Organiser des ateliers internes aux partis politiques (10) d’analyse, enrichissement et validation de leurs plans stratégiques contextualisés</t>
  </si>
  <si>
    <t>Long terme 1 Résultat intermédiaire 11</t>
  </si>
  <si>
    <t>A1211 Validation du manadt et démarches méthodologiques</t>
  </si>
  <si>
    <t>A1212 Réunions internes de deux jours à chaque parti pour définir et valider les thèmes</t>
  </si>
  <si>
    <t>A1213 Processus de développement interne de draft de programme par 7 cadres du parti</t>
  </si>
  <si>
    <t>A1214 Réunion interne de partage du draft de programme avec les organes décentralisés du parti</t>
  </si>
  <si>
    <t>A1215 Validation du draft par le bureau du parti</t>
  </si>
  <si>
    <t>A1.2.2  Assurer la formations/coachingdes partis politiques sur l'efficacité des messages, la planification et la mise en œuvre de la campagne électorale sur base des documents contextualisés (coaching/PP): 3 jours</t>
  </si>
  <si>
    <t>A1.2.3  Appuyer le Ministère de l’Intérieur à organiser un atelier de réflexion avec les partis politiques, le FDP et la CENI sur les nouvelles dispositions du code électoral, le processus de résolution des litiges électoraux, les attitudes et les comportements civiques à adopter pendant la période électorale et post-électorale (1 jour)</t>
  </si>
  <si>
    <t>BLTP</t>
  </si>
  <si>
    <t>Long terme 1 Résultat intermédiaire 12</t>
  </si>
  <si>
    <t xml:space="preserve">A1.3.1a Organiser des réunions consultatives avec les partis politiques sur le renforcement (ou la mise en place) de structures  internes de coordination, de consultation et de gestion intégrant la dimension de genre aux niveaux local, communal et provincial (procédures de leur mise en place et de leur gestion): 1 national </t>
  </si>
  <si>
    <t>AFRABU</t>
  </si>
  <si>
    <t xml:space="preserve">A1.3.1b  Plaidoyer en faveur de l'intégration de la dimension genre au sein des partis politiques et pour une meilleure participation de la femme dans les reformes politiques et electorales en vue des elections de 2025-2027 
</t>
  </si>
  <si>
    <t>A 1.3.2 	Inciter les dirigeants des partis politiques à etre proches de leurs membres avec des actions de responsabilisation, de sensibilisation et de consultation y compris les niveaux communal et collinaire. (Lien avec BICIII, CENAP et ICB).  6 ateliers: 1 national et 5 provinciaux</t>
  </si>
  <si>
    <t>CIDEP</t>
  </si>
  <si>
    <t>Long terme 1 Résultat intermédiaire 13</t>
  </si>
  <si>
    <t>LONG TERME1</t>
  </si>
  <si>
    <t>A2.1.1. Soutenir  les cadres de dialogue multi-acteurs définis dans la résolution Ngozi, ainsi que les cadres de dialogue politique maintenus par le ministère de l'Intérieur et leur extension aux structures décentralisées (provinces et communes), et le FDP: 1jr d'atelier</t>
  </si>
  <si>
    <r>
      <t xml:space="preserve">A2.1.3.b. En collaboration avec la primature ou Mininter, organiser un colloque national annuel des grands leaders d'opinion </t>
    </r>
    <r>
      <rPr>
        <i/>
        <sz val="10"/>
        <color theme="1"/>
        <rFont val="Aptos Display"/>
        <family val="2"/>
        <scheme val="major"/>
      </rPr>
      <t>(leaders des Partis politiques, Femmes et Jeunes des partis politiques, anciens Présidents de la République, OSC, médias, diaspora etc</t>
    </r>
    <r>
      <rPr>
        <sz val="10"/>
        <color theme="1"/>
        <rFont val="Aptos Display"/>
        <family val="2"/>
        <scheme val="major"/>
      </rPr>
      <t>) sur la cohabitation pacifique, la consolidation de la paix pour une démocratie inclusive (50 personnes)
1 colloque/an</t>
    </r>
  </si>
  <si>
    <t>BEL-BURUNDI et BWPD et NIMD</t>
  </si>
  <si>
    <r>
      <t xml:space="preserve">A2.1.4. En collaboration avec les Gouverneurs de province, organiser des réunions d'appropriation des conclusions du colloque national par les leaders d'opinion  </t>
    </r>
    <r>
      <rPr>
        <i/>
        <sz val="10"/>
        <color theme="1"/>
        <rFont val="Aptos Display"/>
        <family val="2"/>
        <scheme val="major"/>
      </rPr>
      <t>(leaders des Partis politiques, Femmes et Jeunes des partis politiques, les élus, OSC, médias,  etc</t>
    </r>
    <r>
      <rPr>
        <sz val="10"/>
        <color theme="1"/>
        <rFont val="Aptos Display"/>
        <family val="2"/>
        <scheme val="major"/>
      </rPr>
      <t xml:space="preserve">) </t>
    </r>
  </si>
  <si>
    <t>Long terme 2 Résultat intermédiaire 21</t>
  </si>
  <si>
    <t>A2.2.1a Soutenir techniquement les partis politiques par la formation au dialogue et la formulation des recommandations à proposer au Président de la République et au Ministre de l'Intérieur en vue de contribuer à l'amélioration de la vie socio-politique et économique de la communauté burundaise.</t>
  </si>
  <si>
    <t xml:space="preserve"> A2.2.2 Renforcer les capacités techniques et opérationnelles du FDP dans le processus de conception,  mise en œuvre et de suivi-évaluation des politiques publiques, dans la formation des leaders des partis politiques, des points focaux des partis politiques aux niveaux national, provincial et communal, et des membres des six commissions thématiques multipartites mis en place à Cibitoke le 2 decembre 2021 (atelier + frais de coaching) 4 ateliers de 3 jours chacun</t>
  </si>
  <si>
    <t>NIMD/CMI</t>
  </si>
  <si>
    <t>Long terme 2 Résultat intermédiaire 22</t>
  </si>
  <si>
    <t>A2.3.1.a. Ateliers d'échanges provinciaux (5) pour Concevoir des mécanismes d’échange et des actions de sensibilisation en vue de lutter contre la manipulation des jeunes et amener ces derniers à jouer un rôle de premier plan dans la prévention des conflits et des violences politiques et électorales avant, pendant et après les élections de 2025-2025</t>
  </si>
  <si>
    <t>REJA</t>
  </si>
  <si>
    <t>A2.3.1.b. Atelier d'échange national pour Sensibiliser les décideurs et les partis politiques pour améliorer le positionnement des jeunes en vue de leur participation comme candidats pendant les élections de 2025-2027</t>
  </si>
  <si>
    <t xml:space="preserve">A2.3.2.a. Ateliers provinciaux des partis politiques,responsables administratifs,  leaders communautaires et  OSC pour renforcer leur capacité à se mobiliser, à définir des agendas et des intérêts et à s'engager efficacement  à différents niveaux pour discuter et proposer des solutions aux problèmes socio-économiques </t>
  </si>
  <si>
    <t xml:space="preserve">A2.3.2.b. Atelier national des partis politiques,responsables administratifs,  leaders communautaires et  OSC pour renforcer leur capacité à se mobiliser, à définir des agendas et des intérêts et à s'engager efficacement  à différents niveaux pour discuter et proposer des solutions aux problèmes socio-économiques </t>
  </si>
  <si>
    <t>A2.3.4a 	Organiser des dialogues multiacteurs à l'intention des partis politiques,  responsables administratifs,  responsables communautaires et  leaders des OSC à différents niveaux (national, provincial et communal) pour discuter des priorités politiques du pays (y compris le code électoral, le code de conduite des partis politiques pendant la période électorale) et élaborer une résolution commune pour améliorer la situation (potentiellement lié aux activités BICIII, CENAP et ICB): 2 ateliers nationaux de 2 jrs chacun</t>
  </si>
  <si>
    <t>APB</t>
  </si>
  <si>
    <t>A2.3.4b. Plaidoyer pour changer certains articles non favorables à la transparence électorale, aux élections démocratiques crédibles, et à la participation des jeunes et des femmes . Deux sous activités:
(i)Enrichir le code électoral pour qu'il soit plus inclusif et partificipatif 
(ii) Sensibliser les membres du Parlement et du Sénat  sur les amendements proposés dans le code électoral</t>
  </si>
  <si>
    <t>Long terme 2 Résultat intermédiaire 23</t>
  </si>
  <si>
    <t>LONG TERME 2</t>
  </si>
  <si>
    <t>A3.1.0 Appuyer les jeunes et les femmes issus des partis politiques regroupes en cooperatitives dans le cadre de la consolidation la paix et la cohesion sociale (10 cooperatives 1/commune)</t>
  </si>
  <si>
    <t>Per cooperative</t>
  </si>
  <si>
    <t>A3.1.1. Soutenir les jeunes multipartites Y/L dans la vulgarisation de leur modèle de cohésion sociale et de participation politique au niveau communal. Lien avec BICIII</t>
  </si>
  <si>
    <t>Per municipality</t>
  </si>
  <si>
    <t>A3.1.3 Renforcer les capacités des Alumni (des personnes modèles à suivre) dans les partis politiques pour qu'ils puissent accompagner les femmes et les jeunes politiques dans la réalisation de leur aspiration politique (Donner à ces Alumni des stages professionnels, coaching et mentoring pdt 6 mois)</t>
  </si>
  <si>
    <t>Per alumni</t>
  </si>
  <si>
    <t>Long terme 3 Résultat intermédiaire 31</t>
  </si>
  <si>
    <t>A3.2.1 Commenditer une étude d'analyse participative des questions relatives à la jeunesse au sein des partis politiques 10 jours de consultance</t>
  </si>
  <si>
    <t>Consultancy</t>
  </si>
  <si>
    <t>A3.2.2. Présenter et discuter les recommendations de l'étude aux leaders des partis politiques et les inciterà s'engager à répondre aux préoccupations des jeunes. 1 jr</t>
  </si>
  <si>
    <t>Session</t>
  </si>
  <si>
    <t>A3.2.3	Activités de dialogue intergénérationnel proprement dit entre les jeunes dirigeants des partis politiques et les dirigeants des partis nationaux et provinciaux. Ces dialogues bénéficieront de la facilitation d'experts au cours desquels les participants conviendront ensemble des priorités axées sur la jeunesse dans leurs programmes politiques. 1 dialogue national et 5 prov</t>
  </si>
  <si>
    <t>CENAP</t>
  </si>
  <si>
    <t>Dialogue</t>
  </si>
  <si>
    <t>Long terme 3 Résultat intermédiaire 32</t>
  </si>
  <si>
    <t>LONG TERME 3</t>
  </si>
  <si>
    <t>4.1.1 	Consultations régulières  avec les parties prenantes sur les activités du projet, les progrès accomplis et les difficultés rencontrées</t>
  </si>
  <si>
    <t>4.1.2	 Visites de sensibilisation où les partenaires chargés de la mise en œuvre s'engagent et partagent leur analyse  au niveau du siège (La Haye), un au niveau intercontinental (Europe/ONU) et un au niveau continental (UA, EAC).</t>
  </si>
  <si>
    <t>Per visit</t>
  </si>
  <si>
    <t>Long terme 4 Résultat intermédiaire 41</t>
  </si>
  <si>
    <t>A421 Notes de recherche et des analyses trimestrielles sur le processus poltique et électoral</t>
  </si>
  <si>
    <t>A423 Retraites de réflexion régulières sur l'état du paysage politique</t>
  </si>
  <si>
    <t>Per retirement</t>
  </si>
  <si>
    <t>A4.2.3.1 Soutien techniques aux capacités des partenaires</t>
  </si>
  <si>
    <t>Long terme 4 Résultat intermédiaire 42</t>
  </si>
  <si>
    <t>LONG TERME 4</t>
  </si>
  <si>
    <t>Sub Total LTO 1-4</t>
  </si>
  <si>
    <t>Total Direct Programme Costs</t>
  </si>
  <si>
    <t>Overhead costs 8%</t>
  </si>
  <si>
    <t>Provision for unforeseen project costs (1%)</t>
  </si>
  <si>
    <t>Budget 2024 Foundations for inclusive and peaceful politics in Burundi -  toward the 2027 elections</t>
  </si>
  <si>
    <t>Budget et dépenses en BIF par partenaire</t>
  </si>
  <si>
    <t>Budget</t>
  </si>
  <si>
    <t>Avance contractualisée et accordée</t>
  </si>
  <si>
    <t>Dépenses justifiées et validées</t>
  </si>
  <si>
    <t>Solde restant à justifier</t>
  </si>
  <si>
    <t>Observation</t>
  </si>
  <si>
    <t>Les fonds relatifs à l'appui des jeunes des partis politiques regroupés dans les coopératives ont été sollicités et accordés en décembre 2024. Cette demande tardive du BLTP est la conséquence du temps relativement long qu'il a pris à justifier correctement la première avance de fonds. Aussi, Le Bureau Pays de NIMD au BURUNDI a consenti au dépassement de 104.715.545 BIF pour permettre au BLTP de répondre à la demande de la Présidence d'inviter les responsables et membres des ligues des partis politiques qui n'avaient pas été pris en compte dans le budget initial.</t>
  </si>
  <si>
    <t xml:space="preserve">Le Bureau Pays de NIMD au BURUNDI a accordé au partenaire AFRABU des fonds correspondant à son offre financière après qu'il ait analysé la conformité de son offre technique avec  les termes de références lui soumis.  </t>
  </si>
  <si>
    <t xml:space="preserve">Le Bureau Pays de NIMD au BURUNDI a accordé au partenaire CIDEP des fonds correspondant à son offre financière après qu'il ait analysé la conformité de son offre technique avec  les termes de références lui soumis.  </t>
  </si>
  <si>
    <t>Le montant de l'avance accordée à BEL BURUNDI correspond à son  financière en réponse aux termes de références lui soumis.  Aussi, le deuxième colloque de 100 millions de BIF n'a pas été organisée faute d'autorisation des responsables administratifs.</t>
  </si>
  <si>
    <t>Le montant de l'avance accordée à REJA correspond à son  financière en réponse aux termes de références lui soumis.   Aussi, 104.912.434 BIF de fonds avancés et justifiés comprend 21.923.190 BIF de report de fin 2023 qui se rapporte au contrat conclu en 2023.</t>
  </si>
  <si>
    <t>Le montant de l'avance accordée à APB correspond à son  financière en réponse aux termes de références lui soumis.  En outre, 70.379.800 BIF de fonds avancés et justifiés comprend un montant de 24.976.620 BIF de report de fin 2023 qui se rapporte au contrat conclu en 2023.</t>
  </si>
  <si>
    <t>TOTAL</t>
  </si>
  <si>
    <t>RAPPORT FINANCIERS FIPP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</si>
</sst>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_-* #,##0.00\ _F_B_u_-;\-* #,##0.00\ _F_B_u_-;_-* &quot;-&quot;??\ _F_B_u_-;_-@_-"/>
    <numFmt numFmtId="166" formatCode="_-* #,##0.00000_-;\-* #,##0.00000_-;_-* &quot;-&quot;_-;_-@_-"/>
    <numFmt numFmtId="167" formatCode="#,##0_ ;\-#,##0\ "/>
  </numFmts>
  <fonts count="12"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0"/>
      <color theme="1"/>
      <name val="Aptos Display"/>
      <family val="2"/>
      <scheme val="major"/>
    </font>
    <font>
      <b/>
      <sz val="10"/>
      <color theme="1"/>
      <name val="Aptos Display"/>
      <family val="2"/>
      <scheme val="major"/>
    </font>
    <font>
      <sz val="10"/>
      <name val="Aptos Display"/>
      <family val="2"/>
      <scheme val="major"/>
    </font>
    <font>
      <b/>
      <sz val="10"/>
      <name val="Aptos Display"/>
      <family val="2"/>
      <scheme val="major"/>
    </font>
    <font>
      <sz val="10"/>
      <color rgb="FFFF0000"/>
      <name val="Aptos Display"/>
      <family val="2"/>
      <scheme val="major"/>
    </font>
    <font>
      <i/>
      <sz val="10"/>
      <color theme="1"/>
      <name val="Aptos Display"/>
      <family val="2"/>
      <scheme val="major"/>
    </font>
    <font>
      <b/>
      <i/>
      <sz val="10"/>
      <color theme="1"/>
      <name val="Aptos Display"/>
      <family val="2"/>
      <scheme val="major"/>
    </font>
    <font>
      <sz val="11"/>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style="thin">
        <color auto="1"/>
      </top>
      <bottom style="thin">
        <color auto="1"/>
      </bottom>
      <diagonal/>
    </border>
    <border>
      <left style="thin">
        <color auto="1"/>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4" fillId="0" borderId="0" xfId="0" applyFont="1" applyAlignment="1">
      <alignment vertical="center"/>
    </xf>
    <xf numFmtId="0" fontId="4" fillId="0" borderId="0" xfId="0" applyFont="1" applyAlignment="1">
      <alignment horizontal="center" vertical="center"/>
    </xf>
    <xf numFmtId="3" fontId="4" fillId="0" borderId="0" xfId="0" applyNumberFormat="1" applyFont="1" applyAlignment="1">
      <alignment vertical="center"/>
    </xf>
    <xf numFmtId="164" fontId="4" fillId="0" borderId="0" xfId="0" applyNumberFormat="1"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3" fontId="6" fillId="0" borderId="1" xfId="0" applyNumberFormat="1" applyFont="1" applyBorder="1" applyAlignment="1">
      <alignment vertical="center"/>
    </xf>
    <xf numFmtId="1"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164" fontId="4" fillId="0" borderId="1" xfId="0" applyNumberFormat="1" applyFont="1" applyBorder="1" applyAlignment="1">
      <alignment vertical="center"/>
    </xf>
    <xf numFmtId="9" fontId="4" fillId="0" borderId="1" xfId="2" applyFont="1" applyBorder="1" applyAlignment="1">
      <alignment vertical="center"/>
    </xf>
    <xf numFmtId="3" fontId="7" fillId="0" borderId="0" xfId="0" applyNumberFormat="1" applyFont="1" applyAlignment="1">
      <alignment vertical="center"/>
    </xf>
    <xf numFmtId="3" fontId="6" fillId="0" borderId="1" xfId="0" applyNumberFormat="1" applyFont="1" applyBorder="1" applyAlignment="1">
      <alignment horizontal="left" vertical="center"/>
    </xf>
    <xf numFmtId="164" fontId="4" fillId="0" borderId="1" xfId="1" applyFont="1" applyBorder="1" applyAlignment="1">
      <alignment vertical="center"/>
    </xf>
    <xf numFmtId="164" fontId="4" fillId="0" borderId="1" xfId="1" applyFont="1" applyBorder="1" applyAlignment="1">
      <alignment horizontal="center" vertical="center" wrapText="1"/>
    </xf>
    <xf numFmtId="3" fontId="6" fillId="0" borderId="1" xfId="0" applyNumberFormat="1" applyFont="1" applyBorder="1" applyAlignment="1">
      <alignment horizontal="right" vertical="center"/>
    </xf>
    <xf numFmtId="1" fontId="4" fillId="0" borderId="1" xfId="1" applyNumberFormat="1" applyFont="1" applyBorder="1" applyAlignment="1">
      <alignment horizontal="center" vertical="center" wrapText="1"/>
    </xf>
    <xf numFmtId="0" fontId="5" fillId="2" borderId="1" xfId="0" applyFont="1" applyFill="1" applyBorder="1" applyAlignment="1">
      <alignment vertical="center"/>
    </xf>
    <xf numFmtId="0" fontId="4" fillId="2" borderId="1" xfId="0" applyFont="1" applyFill="1" applyBorder="1" applyAlignment="1">
      <alignment horizontal="center" vertical="center"/>
    </xf>
    <xf numFmtId="164" fontId="5" fillId="2" borderId="1" xfId="0" applyNumberFormat="1" applyFont="1" applyFill="1" applyBorder="1" applyAlignment="1">
      <alignment vertical="center"/>
    </xf>
    <xf numFmtId="1" fontId="5" fillId="2" borderId="1" xfId="0" applyNumberFormat="1" applyFont="1" applyFill="1" applyBorder="1" applyAlignment="1">
      <alignment horizontal="center" vertical="center"/>
    </xf>
    <xf numFmtId="9" fontId="5" fillId="2" borderId="1" xfId="2" applyFont="1" applyFill="1" applyBorder="1" applyAlignment="1">
      <alignment vertical="center"/>
    </xf>
    <xf numFmtId="0" fontId="5" fillId="0" borderId="1" xfId="0" applyFont="1" applyBorder="1" applyAlignment="1">
      <alignment vertical="center"/>
    </xf>
    <xf numFmtId="164" fontId="5" fillId="0" borderId="1" xfId="0" applyNumberFormat="1" applyFont="1" applyBorder="1" applyAlignment="1">
      <alignment vertical="center"/>
    </xf>
    <xf numFmtId="1" fontId="5" fillId="0" borderId="1" xfId="0" applyNumberFormat="1" applyFont="1" applyBorder="1" applyAlignment="1">
      <alignment horizontal="center" vertical="center"/>
    </xf>
    <xf numFmtId="3" fontId="7" fillId="0" borderId="1" xfId="0" applyNumberFormat="1" applyFont="1" applyBorder="1" applyAlignment="1">
      <alignment vertical="center"/>
    </xf>
    <xf numFmtId="3" fontId="7" fillId="2" borderId="1" xfId="0" applyNumberFormat="1" applyFont="1" applyFill="1" applyBorder="1" applyAlignment="1">
      <alignment vertical="center"/>
    </xf>
    <xf numFmtId="164" fontId="7" fillId="2" borderId="1" xfId="0" applyNumberFormat="1" applyFont="1" applyFill="1" applyBorder="1" applyAlignment="1">
      <alignment vertical="center"/>
    </xf>
    <xf numFmtId="1" fontId="7" fillId="2" borderId="1" xfId="0" applyNumberFormat="1" applyFont="1" applyFill="1" applyBorder="1" applyAlignment="1">
      <alignment horizontal="center" vertical="center"/>
    </xf>
    <xf numFmtId="9" fontId="4" fillId="2" borderId="1" xfId="2" applyFont="1" applyFill="1" applyBorder="1" applyAlignment="1">
      <alignment vertical="center"/>
    </xf>
    <xf numFmtId="164" fontId="4" fillId="0" borderId="1" xfId="0" applyNumberFormat="1" applyFont="1" applyBorder="1" applyAlignment="1">
      <alignment horizontal="center" vertical="center"/>
    </xf>
    <xf numFmtId="0" fontId="4" fillId="0" borderId="1" xfId="0" applyFont="1" applyBorder="1" applyAlignment="1">
      <alignment vertical="center"/>
    </xf>
    <xf numFmtId="3" fontId="5" fillId="0" borderId="1" xfId="0" applyNumberFormat="1" applyFont="1" applyBorder="1" applyAlignment="1">
      <alignment vertical="center"/>
    </xf>
    <xf numFmtId="164" fontId="4" fillId="0" borderId="1" xfId="1" applyFont="1" applyFill="1" applyBorder="1" applyAlignment="1">
      <alignment vertical="center"/>
    </xf>
    <xf numFmtId="1" fontId="4" fillId="0" borderId="1" xfId="0" applyNumberFormat="1" applyFont="1" applyBorder="1" applyAlignment="1">
      <alignment horizontal="center" vertical="center"/>
    </xf>
    <xf numFmtId="164" fontId="6" fillId="0" borderId="1" xfId="0" applyNumberFormat="1" applyFont="1" applyBorder="1" applyAlignment="1">
      <alignment vertical="center"/>
    </xf>
    <xf numFmtId="9" fontId="4" fillId="0" borderId="1" xfId="2" applyFont="1" applyFill="1" applyBorder="1" applyAlignment="1">
      <alignment vertical="center"/>
    </xf>
    <xf numFmtId="164" fontId="8" fillId="0" borderId="1" xfId="0" applyNumberFormat="1" applyFont="1" applyBorder="1" applyAlignment="1">
      <alignment vertical="center"/>
    </xf>
    <xf numFmtId="164" fontId="5" fillId="2" borderId="1" xfId="1" applyFont="1" applyFill="1" applyBorder="1" applyAlignment="1">
      <alignment vertical="center"/>
    </xf>
    <xf numFmtId="1" fontId="5" fillId="2" borderId="1" xfId="1" applyNumberFormat="1" applyFont="1" applyFill="1" applyBorder="1" applyAlignment="1">
      <alignment horizontal="center" vertical="center"/>
    </xf>
    <xf numFmtId="0" fontId="5" fillId="3" borderId="1" xfId="0" applyFont="1" applyFill="1" applyBorder="1" applyAlignment="1">
      <alignment horizontal="left" vertical="center"/>
    </xf>
    <xf numFmtId="165" fontId="4" fillId="3" borderId="1" xfId="0" applyNumberFormat="1" applyFont="1" applyFill="1" applyBorder="1" applyAlignment="1">
      <alignment horizontal="center" vertical="center"/>
    </xf>
    <xf numFmtId="164" fontId="5" fillId="3" borderId="1" xfId="1" applyFont="1" applyFill="1" applyBorder="1" applyAlignment="1">
      <alignment vertical="center"/>
    </xf>
    <xf numFmtId="1" fontId="5" fillId="3" borderId="1" xfId="1" applyNumberFormat="1" applyFont="1" applyFill="1" applyBorder="1" applyAlignment="1">
      <alignment horizontal="center" vertical="center"/>
    </xf>
    <xf numFmtId="9" fontId="5" fillId="3" borderId="1" xfId="2" applyFont="1" applyFill="1" applyBorder="1" applyAlignment="1">
      <alignment vertical="center"/>
    </xf>
    <xf numFmtId="165" fontId="5" fillId="0" borderId="1" xfId="0" applyNumberFormat="1" applyFont="1" applyBorder="1" applyAlignment="1">
      <alignment vertical="center"/>
    </xf>
    <xf numFmtId="164" fontId="5" fillId="0" borderId="1" xfId="1" applyFont="1" applyFill="1" applyBorder="1" applyAlignment="1">
      <alignment vertical="center"/>
    </xf>
    <xf numFmtId="1" fontId="5" fillId="0" borderId="1" xfId="1" applyNumberFormat="1" applyFont="1" applyFill="1" applyBorder="1" applyAlignment="1">
      <alignment horizontal="center" vertical="center"/>
    </xf>
    <xf numFmtId="9" fontId="5" fillId="0" borderId="1" xfId="2" applyFont="1" applyFill="1" applyBorder="1" applyAlignment="1">
      <alignment horizontal="right" vertical="center"/>
    </xf>
    <xf numFmtId="9" fontId="4" fillId="0" borderId="1" xfId="2" applyFont="1" applyBorder="1" applyAlignment="1">
      <alignment horizontal="right" vertical="center"/>
    </xf>
    <xf numFmtId="9" fontId="4" fillId="0" borderId="1" xfId="2" applyFont="1" applyFill="1" applyBorder="1" applyAlignment="1">
      <alignment horizontal="right" vertical="center"/>
    </xf>
    <xf numFmtId="164" fontId="7" fillId="2" borderId="1" xfId="1"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9" fontId="7" fillId="2" borderId="1" xfId="2" applyFont="1" applyFill="1" applyBorder="1" applyAlignment="1">
      <alignment horizontal="right" vertical="center" wrapText="1"/>
    </xf>
    <xf numFmtId="166" fontId="4" fillId="0" borderId="0" xfId="0" applyNumberFormat="1" applyFont="1" applyAlignment="1">
      <alignment vertical="center"/>
    </xf>
    <xf numFmtId="0" fontId="4" fillId="0" borderId="1" xfId="0" applyFont="1" applyBorder="1" applyAlignment="1">
      <alignment vertical="center" wrapText="1"/>
    </xf>
    <xf numFmtId="164" fontId="7" fillId="2" borderId="1"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64" fontId="5" fillId="5" borderId="1" xfId="0" applyNumberFormat="1" applyFont="1" applyFill="1" applyBorder="1" applyAlignment="1">
      <alignment horizontal="left" vertical="center"/>
    </xf>
    <xf numFmtId="1" fontId="5" fillId="5" borderId="1" xfId="0" applyNumberFormat="1" applyFont="1" applyFill="1" applyBorder="1" applyAlignment="1">
      <alignment horizontal="center" vertical="center"/>
    </xf>
    <xf numFmtId="9" fontId="5" fillId="5" borderId="1" xfId="2" applyFont="1" applyFill="1" applyBorder="1" applyAlignment="1">
      <alignment horizontal="right" vertical="center"/>
    </xf>
    <xf numFmtId="164" fontId="5" fillId="0" borderId="0" xfId="0" applyNumberFormat="1" applyFont="1" applyAlignment="1">
      <alignment horizontal="left" vertical="center"/>
    </xf>
    <xf numFmtId="0" fontId="5" fillId="0" borderId="0" xfId="0" applyFont="1" applyAlignment="1">
      <alignment horizontal="left" vertical="center"/>
    </xf>
    <xf numFmtId="9" fontId="4" fillId="0" borderId="0" xfId="2" applyFont="1" applyAlignment="1">
      <alignment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164" fontId="7" fillId="5" borderId="1"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9" fontId="7" fillId="5" borderId="1" xfId="2" applyFont="1" applyFill="1" applyBorder="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0" xfId="0" applyFont="1" applyAlignment="1">
      <alignment vertical="center"/>
    </xf>
    <xf numFmtId="165" fontId="4" fillId="0" borderId="1" xfId="0" applyNumberFormat="1" applyFont="1" applyBorder="1" applyAlignment="1">
      <alignment vertical="center" wrapText="1"/>
    </xf>
    <xf numFmtId="165" fontId="4" fillId="0" borderId="1" xfId="0" applyNumberFormat="1" applyFont="1" applyBorder="1" applyAlignment="1">
      <alignment horizontal="center" vertical="center" wrapText="1"/>
    </xf>
    <xf numFmtId="0" fontId="5" fillId="3" borderId="1" xfId="0" applyFont="1" applyFill="1" applyBorder="1" applyAlignment="1">
      <alignment horizontal="left" vertical="center" wrapText="1"/>
    </xf>
    <xf numFmtId="164" fontId="5" fillId="3" borderId="1" xfId="1" applyFont="1" applyFill="1" applyBorder="1" applyAlignment="1">
      <alignment horizontal="center" vertical="center" wrapText="1"/>
    </xf>
    <xf numFmtId="1" fontId="5" fillId="3" borderId="1" xfId="1" applyNumberFormat="1" applyFont="1" applyFill="1" applyBorder="1" applyAlignment="1">
      <alignment horizontal="center" vertical="center" wrapText="1"/>
    </xf>
    <xf numFmtId="9" fontId="5" fillId="3" borderId="1" xfId="2" applyFont="1" applyFill="1" applyBorder="1" applyAlignment="1">
      <alignment horizontal="right" vertical="center" wrapText="1"/>
    </xf>
    <xf numFmtId="0" fontId="5" fillId="0" borderId="1" xfId="0" applyFont="1" applyBorder="1" applyAlignment="1">
      <alignment horizontal="left" vertical="center" wrapText="1"/>
    </xf>
    <xf numFmtId="164" fontId="5" fillId="0" borderId="1" xfId="1"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9" fontId="5" fillId="0" borderId="1" xfId="2" applyFont="1" applyFill="1" applyBorder="1" applyAlignment="1">
      <alignment horizontal="right" vertical="center" wrapText="1"/>
    </xf>
    <xf numFmtId="164" fontId="4" fillId="0" borderId="1" xfId="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0" xfId="0" applyNumberFormat="1" applyFont="1" applyAlignment="1">
      <alignment vertical="center"/>
    </xf>
    <xf numFmtId="164" fontId="5" fillId="3" borderId="1" xfId="1" applyFont="1" applyFill="1" applyBorder="1" applyAlignment="1">
      <alignment horizontal="center" vertical="center"/>
    </xf>
    <xf numFmtId="9" fontId="5" fillId="3" borderId="1" xfId="2" applyFont="1" applyFill="1" applyBorder="1" applyAlignment="1">
      <alignment horizontal="right" vertical="center"/>
    </xf>
    <xf numFmtId="3" fontId="7" fillId="3" borderId="1" xfId="0" applyNumberFormat="1" applyFont="1" applyFill="1" applyBorder="1" applyAlignment="1">
      <alignment vertical="center" wrapText="1"/>
    </xf>
    <xf numFmtId="164" fontId="5" fillId="3" borderId="1" xfId="0" applyNumberFormat="1" applyFont="1" applyFill="1" applyBorder="1" applyAlignment="1">
      <alignment vertical="center"/>
    </xf>
    <xf numFmtId="1" fontId="5" fillId="3" borderId="1" xfId="0" applyNumberFormat="1" applyFont="1" applyFill="1" applyBorder="1" applyAlignment="1">
      <alignment horizontal="center" vertical="center"/>
    </xf>
    <xf numFmtId="0" fontId="4" fillId="3" borderId="1" xfId="0" applyFont="1" applyFill="1" applyBorder="1" applyAlignment="1">
      <alignment vertical="center"/>
    </xf>
    <xf numFmtId="1" fontId="4" fillId="0" borderId="0" xfId="0" applyNumberFormat="1" applyFont="1" applyAlignment="1">
      <alignment horizontal="center" vertical="center"/>
    </xf>
    <xf numFmtId="164" fontId="4" fillId="0" borderId="0" xfId="2" applyNumberFormat="1" applyFont="1" applyAlignment="1">
      <alignment vertical="center"/>
    </xf>
    <xf numFmtId="165" fontId="4" fillId="0" borderId="0" xfId="0" applyNumberFormat="1" applyFont="1" applyAlignment="1">
      <alignment vertical="center"/>
    </xf>
    <xf numFmtId="0" fontId="0" fillId="0" borderId="0" xfId="0" applyAlignment="1">
      <alignment vertical="center"/>
    </xf>
    <xf numFmtId="0" fontId="2" fillId="0" borderId="0" xfId="0" applyFont="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164" fontId="0" fillId="0" borderId="1" xfId="0" applyNumberFormat="1" applyBorder="1" applyAlignment="1">
      <alignment vertical="center"/>
    </xf>
    <xf numFmtId="164" fontId="0" fillId="0" borderId="1" xfId="1" applyFont="1" applyBorder="1" applyAlignment="1">
      <alignment vertical="center"/>
    </xf>
    <xf numFmtId="164" fontId="11" fillId="0" borderId="1" xfId="0" applyNumberFormat="1" applyFont="1" applyBorder="1" applyAlignment="1">
      <alignment vertical="center"/>
    </xf>
    <xf numFmtId="0" fontId="0" fillId="0" borderId="1" xfId="0" applyBorder="1" applyAlignment="1">
      <alignment vertical="center" wrapText="1"/>
    </xf>
    <xf numFmtId="164" fontId="0" fillId="0" borderId="3" xfId="1" applyFont="1" applyBorder="1" applyAlignment="1">
      <alignment vertical="center"/>
    </xf>
    <xf numFmtId="167" fontId="0" fillId="0" borderId="1" xfId="0" applyNumberFormat="1" applyBorder="1" applyAlignment="1">
      <alignment vertical="center"/>
    </xf>
    <xf numFmtId="164" fontId="0" fillId="0" borderId="1" xfId="1" applyFont="1" applyBorder="1" applyAlignment="1">
      <alignment horizontal="right" vertical="center"/>
    </xf>
    <xf numFmtId="0" fontId="3" fillId="0" borderId="1" xfId="0" applyFont="1" applyBorder="1" applyAlignment="1">
      <alignment horizontal="left" vertical="center"/>
    </xf>
    <xf numFmtId="164" fontId="0" fillId="0" borderId="0" xfId="0" applyNumberFormat="1" applyAlignment="1">
      <alignment vertical="center"/>
    </xf>
    <xf numFmtId="164" fontId="0" fillId="0" borderId="2" xfId="1" applyFont="1" applyBorder="1" applyAlignment="1">
      <alignment vertical="center"/>
    </xf>
    <xf numFmtId="0" fontId="3" fillId="0" borderId="1" xfId="0" applyFont="1" applyBorder="1" applyAlignment="1">
      <alignment vertical="center"/>
    </xf>
    <xf numFmtId="164" fontId="3" fillId="0" borderId="1" xfId="0" applyNumberFormat="1" applyFont="1" applyBorder="1" applyAlignment="1">
      <alignment vertical="center"/>
    </xf>
    <xf numFmtId="9" fontId="0" fillId="0" borderId="0" xfId="2" applyFont="1" applyAlignment="1">
      <alignment vertical="center"/>
    </xf>
    <xf numFmtId="0" fontId="7" fillId="5"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165" fontId="5" fillId="3" borderId="1" xfId="0" applyNumberFormat="1" applyFont="1" applyFill="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164" fontId="5" fillId="2" borderId="1"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7" fillId="2" borderId="1" xfId="0" applyNumberFormat="1" applyFont="1" applyFill="1" applyBorder="1" applyAlignment="1">
      <alignment horizontal="center" vertical="center"/>
    </xf>
    <xf numFmtId="164" fontId="5" fillId="2" borderId="1" xfId="1" applyFont="1" applyFill="1" applyBorder="1" applyAlignment="1">
      <alignment horizontal="center" vertical="center"/>
    </xf>
    <xf numFmtId="164" fontId="5" fillId="0" borderId="1" xfId="1" applyFont="1" applyFill="1" applyBorder="1" applyAlignment="1">
      <alignment horizontal="center" vertical="center"/>
    </xf>
    <xf numFmtId="164" fontId="4" fillId="0" borderId="1" xfId="0" applyNumberFormat="1" applyFont="1" applyBorder="1" applyAlignment="1">
      <alignment horizontal="center" vertical="center" wrapText="1"/>
    </xf>
    <xf numFmtId="164" fontId="5" fillId="5"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0" fontId="5" fillId="0" borderId="1" xfId="0" applyFont="1" applyBorder="1" applyAlignment="1">
      <alignment horizontal="left" vertical="center"/>
    </xf>
    <xf numFmtId="0" fontId="7" fillId="2" borderId="1" xfId="0" applyFont="1" applyFill="1" applyBorder="1" applyAlignment="1">
      <alignment horizontal="center" vertical="center"/>
    </xf>
    <xf numFmtId="165" fontId="4" fillId="0" borderId="1" xfId="0" applyNumberFormat="1" applyFont="1" applyBorder="1" applyAlignment="1">
      <alignment vertical="center"/>
    </xf>
    <xf numFmtId="165" fontId="4" fillId="0" borderId="1" xfId="0" applyNumberFormat="1" applyFont="1" applyBorder="1" applyAlignment="1">
      <alignment horizontal="center" vertical="center"/>
    </xf>
    <xf numFmtId="164" fontId="4" fillId="0" borderId="1" xfId="1" applyFont="1" applyBorder="1" applyAlignment="1">
      <alignment vertical="center" wrapText="1"/>
    </xf>
    <xf numFmtId="164" fontId="4" fillId="0" borderId="1" xfId="1" applyFont="1" applyFill="1" applyBorder="1" applyAlignment="1">
      <alignment vertical="center" wrapText="1"/>
    </xf>
    <xf numFmtId="0" fontId="4" fillId="4" borderId="1" xfId="1" applyNumberFormat="1" applyFont="1" applyFill="1" applyBorder="1" applyAlignment="1">
      <alignment vertical="center" wrapText="1"/>
    </xf>
    <xf numFmtId="0" fontId="7" fillId="2" borderId="1" xfId="0" applyFont="1" applyFill="1" applyBorder="1" applyAlignment="1">
      <alignment horizontal="left" vertical="center" wrapText="1"/>
    </xf>
    <xf numFmtId="0" fontId="5" fillId="5" borderId="1" xfId="0" applyFont="1" applyFill="1" applyBorder="1" applyAlignment="1">
      <alignment horizontal="left" vertical="center"/>
    </xf>
  </cellXfs>
  <cellStyles count="3">
    <cellStyle name="Comma [0]" xfId="1" builtinId="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6739-495A-4B9A-BD87-EF8EC5C91C69}">
  <dimension ref="A1:Q134"/>
  <sheetViews>
    <sheetView tabSelected="1" view="pageBreakPreview" zoomScale="60" zoomScaleNormal="90" workbookViewId="0">
      <pane ySplit="6" topLeftCell="A95" activePane="bottomLeft" state="frozen"/>
      <selection pane="bottomLeft" activeCell="A4" sqref="A4:M115"/>
    </sheetView>
  </sheetViews>
  <sheetFormatPr defaultColWidth="10.90625" defaultRowHeight="13" x14ac:dyDescent="0.35"/>
  <cols>
    <col min="1" max="1" width="73.08984375" style="1" customWidth="1"/>
    <col min="2" max="2" width="8.81640625" style="2" customWidth="1"/>
    <col min="3" max="4" width="16.36328125" style="1" customWidth="1"/>
    <col min="5" max="5" width="11.1796875" style="2" customWidth="1"/>
    <col min="6" max="6" width="13.1796875" style="2" customWidth="1"/>
    <col min="7" max="12" width="15.08984375" style="1" customWidth="1"/>
    <col min="13" max="13" width="10.453125" style="1" customWidth="1"/>
    <col min="14" max="14" width="31.6328125" style="1" customWidth="1"/>
    <col min="15" max="16384" width="10.90625" style="1"/>
  </cols>
  <sheetData>
    <row r="1" spans="1:13" ht="15.5" customHeight="1" x14ac:dyDescent="0.35">
      <c r="A1" s="73" t="s">
        <v>153</v>
      </c>
    </row>
    <row r="2" spans="1:13" x14ac:dyDescent="0.35">
      <c r="G2" s="3"/>
      <c r="H2" s="4"/>
      <c r="I2" s="4"/>
      <c r="L2" s="4"/>
    </row>
    <row r="3" spans="1:13" x14ac:dyDescent="0.35">
      <c r="A3" s="1" t="s">
        <v>0</v>
      </c>
      <c r="C3" s="1">
        <v>3.3E-4</v>
      </c>
      <c r="D3" s="1" t="s">
        <v>1</v>
      </c>
    </row>
    <row r="4" spans="1:13" ht="35" customHeight="1" x14ac:dyDescent="0.35">
      <c r="A4" s="117" t="s">
        <v>2</v>
      </c>
      <c r="B4" s="117" t="s">
        <v>3</v>
      </c>
      <c r="C4" s="117" t="s">
        <v>4</v>
      </c>
      <c r="D4" s="117"/>
      <c r="E4" s="118" t="s">
        <v>5</v>
      </c>
      <c r="F4" s="118"/>
      <c r="G4" s="118"/>
      <c r="H4" s="118"/>
      <c r="I4" s="118"/>
      <c r="J4" s="118"/>
      <c r="K4" s="118" t="s">
        <v>6</v>
      </c>
      <c r="L4" s="118"/>
      <c r="M4" s="6" t="s">
        <v>7</v>
      </c>
    </row>
    <row r="5" spans="1:13" ht="24.5" customHeight="1" x14ac:dyDescent="0.35">
      <c r="A5" s="117"/>
      <c r="B5" s="117"/>
      <c r="C5" s="5"/>
      <c r="D5" s="5"/>
      <c r="E5" s="6" t="s">
        <v>8</v>
      </c>
      <c r="F5" s="6" t="s">
        <v>9</v>
      </c>
      <c r="G5" s="118" t="s">
        <v>10</v>
      </c>
      <c r="H5" s="118"/>
      <c r="I5" s="118" t="s">
        <v>11</v>
      </c>
      <c r="J5" s="118"/>
      <c r="K5" s="6"/>
      <c r="L5" s="6"/>
      <c r="M5" s="6"/>
    </row>
    <row r="6" spans="1:13" ht="14.5" customHeight="1" x14ac:dyDescent="0.35">
      <c r="A6" s="117"/>
      <c r="B6" s="117"/>
      <c r="C6" s="5" t="s">
        <v>12</v>
      </c>
      <c r="D6" s="5" t="s">
        <v>13</v>
      </c>
      <c r="E6" s="5"/>
      <c r="F6" s="5"/>
      <c r="G6" s="5" t="s">
        <v>1</v>
      </c>
      <c r="H6" s="5" t="s">
        <v>13</v>
      </c>
      <c r="I6" s="5" t="s">
        <v>12</v>
      </c>
      <c r="J6" s="5" t="s">
        <v>13</v>
      </c>
      <c r="K6" s="5" t="s">
        <v>12</v>
      </c>
      <c r="L6" s="5" t="s">
        <v>13</v>
      </c>
      <c r="M6" s="5" t="s">
        <v>14</v>
      </c>
    </row>
    <row r="7" spans="1:13" ht="16.5" customHeight="1" x14ac:dyDescent="0.35">
      <c r="A7" s="130" t="s">
        <v>15</v>
      </c>
      <c r="B7" s="5"/>
      <c r="C7" s="5"/>
      <c r="D7" s="5"/>
      <c r="E7" s="5"/>
      <c r="F7" s="5"/>
      <c r="G7" s="5"/>
      <c r="H7" s="5"/>
      <c r="I7" s="5"/>
      <c r="J7" s="5"/>
      <c r="K7" s="5"/>
      <c r="L7" s="5"/>
      <c r="M7" s="5"/>
    </row>
    <row r="8" spans="1:13" s="12" customFormat="1" ht="16.5" customHeight="1" x14ac:dyDescent="0.35">
      <c r="A8" s="7" t="s">
        <v>16</v>
      </c>
      <c r="B8" s="9" t="s">
        <v>17</v>
      </c>
      <c r="C8" s="7">
        <v>46193.399999999994</v>
      </c>
      <c r="D8" s="7">
        <v>139980000</v>
      </c>
      <c r="E8" s="8">
        <v>12</v>
      </c>
      <c r="F8" s="9" t="s">
        <v>18</v>
      </c>
      <c r="G8" s="7">
        <v>3835</v>
      </c>
      <c r="H8" s="7">
        <f>G8/$C$3</f>
        <v>11621212.121212121</v>
      </c>
      <c r="I8" s="7">
        <f>E8*G8</f>
        <v>46020</v>
      </c>
      <c r="J8" s="7">
        <f>E8*H8</f>
        <v>139454545.45454544</v>
      </c>
      <c r="K8" s="10">
        <f t="shared" ref="K8:L13" si="0">+I8-C8</f>
        <v>-173.39999999999418</v>
      </c>
      <c r="L8" s="10">
        <f t="shared" si="0"/>
        <v>-525454.54545456171</v>
      </c>
      <c r="M8" s="11">
        <f t="shared" ref="M8:M15" si="1">+I8/C8</f>
        <v>0.99624621699203797</v>
      </c>
    </row>
    <row r="9" spans="1:13" ht="16.5" customHeight="1" x14ac:dyDescent="0.35">
      <c r="A9" s="13" t="s">
        <v>19</v>
      </c>
      <c r="B9" s="5" t="s">
        <v>17</v>
      </c>
      <c r="C9" s="14">
        <v>28908</v>
      </c>
      <c r="D9" s="15">
        <v>87600000</v>
      </c>
      <c r="E9" s="8">
        <v>12</v>
      </c>
      <c r="F9" s="9" t="s">
        <v>18</v>
      </c>
      <c r="G9" s="16">
        <v>2341.1999999999998</v>
      </c>
      <c r="H9" s="7">
        <v>7178333.3333000001</v>
      </c>
      <c r="I9" s="7">
        <f t="shared" ref="I9:I13" si="2">E9*G9</f>
        <v>28094.399999999998</v>
      </c>
      <c r="J9" s="7">
        <f t="shared" ref="J9:J13" si="3">E9*H9</f>
        <v>86139999.999599993</v>
      </c>
      <c r="K9" s="10">
        <f t="shared" si="0"/>
        <v>-813.60000000000218</v>
      </c>
      <c r="L9" s="10">
        <f t="shared" si="0"/>
        <v>-1460000.0004000068</v>
      </c>
      <c r="M9" s="11">
        <f t="shared" si="1"/>
        <v>0.97185554171855537</v>
      </c>
    </row>
    <row r="10" spans="1:13" ht="16.5" customHeight="1" x14ac:dyDescent="0.35">
      <c r="A10" s="13" t="s">
        <v>20</v>
      </c>
      <c r="B10" s="5" t="s">
        <v>17</v>
      </c>
      <c r="C10" s="14">
        <v>33660</v>
      </c>
      <c r="D10" s="15">
        <v>102000000</v>
      </c>
      <c r="E10" s="8">
        <v>12</v>
      </c>
      <c r="F10" s="9" t="s">
        <v>18</v>
      </c>
      <c r="G10" s="16">
        <v>2740</v>
      </c>
      <c r="H10" s="7">
        <v>8400833.3330000006</v>
      </c>
      <c r="I10" s="7">
        <f t="shared" si="2"/>
        <v>32880</v>
      </c>
      <c r="J10" s="7">
        <f t="shared" si="3"/>
        <v>100809999.99600001</v>
      </c>
      <c r="K10" s="10">
        <f t="shared" si="0"/>
        <v>-780</v>
      </c>
      <c r="L10" s="10">
        <f t="shared" si="0"/>
        <v>-1190000.0039999932</v>
      </c>
      <c r="M10" s="11">
        <f t="shared" si="1"/>
        <v>0.97682709447415328</v>
      </c>
    </row>
    <row r="11" spans="1:13" ht="16.5" customHeight="1" x14ac:dyDescent="0.35">
      <c r="A11" s="13" t="s">
        <v>21</v>
      </c>
      <c r="B11" s="5" t="s">
        <v>17</v>
      </c>
      <c r="C11" s="14">
        <v>1188</v>
      </c>
      <c r="D11" s="15">
        <v>3600000</v>
      </c>
      <c r="E11" s="8">
        <v>12</v>
      </c>
      <c r="F11" s="9" t="s">
        <v>18</v>
      </c>
      <c r="G11" s="15">
        <v>67.75</v>
      </c>
      <c r="H11" s="7">
        <v>208333.3333</v>
      </c>
      <c r="I11" s="7">
        <f t="shared" si="2"/>
        <v>813</v>
      </c>
      <c r="J11" s="7">
        <f t="shared" si="3"/>
        <v>2499999.9995999997</v>
      </c>
      <c r="K11" s="10">
        <f t="shared" si="0"/>
        <v>-375</v>
      </c>
      <c r="L11" s="10">
        <f t="shared" si="0"/>
        <v>-1100000.0004000003</v>
      </c>
      <c r="M11" s="11">
        <f t="shared" si="1"/>
        <v>0.68434343434343436</v>
      </c>
    </row>
    <row r="12" spans="1:13" ht="16.5" customHeight="1" x14ac:dyDescent="0.35">
      <c r="A12" s="13" t="s">
        <v>22</v>
      </c>
      <c r="B12" s="5" t="s">
        <v>17</v>
      </c>
      <c r="C12" s="14">
        <v>18066.225087899998</v>
      </c>
      <c r="D12" s="15">
        <v>54746136.629999995</v>
      </c>
      <c r="E12" s="8">
        <v>1</v>
      </c>
      <c r="F12" s="9" t="s">
        <v>18</v>
      </c>
      <c r="G12" s="15">
        <v>136</v>
      </c>
      <c r="H12" s="7">
        <v>416426</v>
      </c>
      <c r="I12" s="7">
        <f t="shared" si="2"/>
        <v>136</v>
      </c>
      <c r="J12" s="7">
        <f t="shared" si="3"/>
        <v>416426</v>
      </c>
      <c r="K12" s="10">
        <f t="shared" si="0"/>
        <v>-17930.225087899998</v>
      </c>
      <c r="L12" s="10">
        <f t="shared" si="0"/>
        <v>-54329710.629999995</v>
      </c>
      <c r="M12" s="11">
        <f t="shared" si="1"/>
        <v>7.5278592698973463E-3</v>
      </c>
    </row>
    <row r="13" spans="1:13" ht="16.5" customHeight="1" x14ac:dyDescent="0.35">
      <c r="A13" s="13" t="s">
        <v>23</v>
      </c>
      <c r="B13" s="5" t="s">
        <v>17</v>
      </c>
      <c r="C13" s="14">
        <v>8867.7456318000004</v>
      </c>
      <c r="D13" s="15">
        <v>26871956.460000001</v>
      </c>
      <c r="E13" s="8">
        <v>12</v>
      </c>
      <c r="F13" s="9" t="s">
        <v>18</v>
      </c>
      <c r="G13" s="15">
        <v>0</v>
      </c>
      <c r="H13" s="7">
        <v>0</v>
      </c>
      <c r="I13" s="7">
        <f t="shared" si="2"/>
        <v>0</v>
      </c>
      <c r="J13" s="7">
        <f t="shared" si="3"/>
        <v>0</v>
      </c>
      <c r="K13" s="10">
        <f t="shared" si="0"/>
        <v>-8867.7456318000004</v>
      </c>
      <c r="L13" s="10">
        <f t="shared" si="0"/>
        <v>-26871956.460000001</v>
      </c>
      <c r="M13" s="11">
        <f t="shared" si="1"/>
        <v>0</v>
      </c>
    </row>
    <row r="14" spans="1:13" ht="16.5" customHeight="1" x14ac:dyDescent="0.35">
      <c r="A14" s="13" t="s">
        <v>24</v>
      </c>
      <c r="B14" s="5"/>
      <c r="C14" s="14"/>
      <c r="D14" s="15"/>
      <c r="E14" s="17"/>
      <c r="F14" s="15"/>
      <c r="G14" s="15"/>
      <c r="H14" s="15"/>
      <c r="I14" s="10"/>
      <c r="J14" s="10"/>
      <c r="K14" s="10"/>
      <c r="L14" s="10"/>
      <c r="M14" s="11"/>
    </row>
    <row r="15" spans="1:13" ht="16.5" customHeight="1" x14ac:dyDescent="0.35">
      <c r="A15" s="18" t="s">
        <v>25</v>
      </c>
      <c r="B15" s="19"/>
      <c r="C15" s="20">
        <f>SUM(C8:C14)</f>
        <v>136883.3707197</v>
      </c>
      <c r="D15" s="20">
        <f>SUM(D8:D14)</f>
        <v>414798093.08999997</v>
      </c>
      <c r="E15" s="21"/>
      <c r="F15" s="122"/>
      <c r="G15" s="20"/>
      <c r="H15" s="20"/>
      <c r="I15" s="20">
        <f>SUM(I8:I14)</f>
        <v>107943.4</v>
      </c>
      <c r="J15" s="20">
        <f>SUM(J8:J14)</f>
        <v>329320971.44974542</v>
      </c>
      <c r="K15" s="20">
        <f>SUM(K8:K14)</f>
        <v>-28939.970719699995</v>
      </c>
      <c r="L15" s="20">
        <f>SUM(L8:L14)</f>
        <v>-85477121.640254557</v>
      </c>
      <c r="M15" s="22">
        <f t="shared" si="1"/>
        <v>0.78857935359466547</v>
      </c>
    </row>
    <row r="16" spans="1:13" ht="16.5" customHeight="1" x14ac:dyDescent="0.35">
      <c r="A16" s="23"/>
      <c r="B16" s="5"/>
      <c r="C16" s="24"/>
      <c r="D16" s="24"/>
      <c r="E16" s="25"/>
      <c r="F16" s="123"/>
      <c r="G16" s="24"/>
      <c r="H16" s="24"/>
      <c r="I16" s="24"/>
      <c r="J16" s="24"/>
      <c r="K16" s="24"/>
      <c r="L16" s="24"/>
      <c r="M16" s="24"/>
    </row>
    <row r="17" spans="1:16" ht="16.5" customHeight="1" x14ac:dyDescent="0.35">
      <c r="A17" s="26" t="s">
        <v>26</v>
      </c>
      <c r="B17" s="5"/>
      <c r="C17" s="24"/>
      <c r="D17" s="24"/>
      <c r="E17" s="25"/>
      <c r="F17" s="123"/>
      <c r="G17" s="24"/>
      <c r="H17" s="24"/>
      <c r="I17" s="24"/>
      <c r="J17" s="24"/>
      <c r="K17" s="24"/>
      <c r="L17" s="24"/>
      <c r="M17" s="24"/>
    </row>
    <row r="18" spans="1:16" ht="16.5" customHeight="1" x14ac:dyDescent="0.35">
      <c r="A18" s="7" t="s">
        <v>27</v>
      </c>
      <c r="B18" s="5" t="s">
        <v>17</v>
      </c>
      <c r="C18" s="10">
        <v>20832</v>
      </c>
      <c r="D18" s="16">
        <v>63127272.727272727</v>
      </c>
      <c r="E18" s="8">
        <v>39.225000000000001</v>
      </c>
      <c r="F18" s="9" t="s">
        <v>28</v>
      </c>
      <c r="G18" s="16">
        <v>496</v>
      </c>
      <c r="H18" s="7">
        <f>G18/C3</f>
        <v>1503030.303030303</v>
      </c>
      <c r="I18" s="7">
        <f>E18*G18</f>
        <v>19455.600000000002</v>
      </c>
      <c r="J18" s="7">
        <f>E18*H18</f>
        <v>58956363.636363633</v>
      </c>
      <c r="K18" s="10">
        <f t="shared" ref="K18:L19" si="4">+I18-C18</f>
        <v>-1376.3999999999978</v>
      </c>
      <c r="L18" s="10">
        <f t="shared" si="4"/>
        <v>-4170909.0909090936</v>
      </c>
      <c r="M18" s="11">
        <f t="shared" ref="M18:M20" si="5">+I18/C18</f>
        <v>0.93392857142857155</v>
      </c>
    </row>
    <row r="19" spans="1:16" ht="16.5" customHeight="1" x14ac:dyDescent="0.35">
      <c r="A19" s="7" t="s">
        <v>29</v>
      </c>
      <c r="B19" s="5" t="s">
        <v>17</v>
      </c>
      <c r="C19" s="10">
        <v>5760</v>
      </c>
      <c r="D19" s="16">
        <v>17454545.454545453</v>
      </c>
      <c r="E19" s="8">
        <v>9.53125</v>
      </c>
      <c r="F19" s="9" t="s">
        <v>28</v>
      </c>
      <c r="G19" s="16">
        <v>480</v>
      </c>
      <c r="H19" s="7">
        <f>G19/C3</f>
        <v>1454545.4545454546</v>
      </c>
      <c r="I19" s="7">
        <f>E19*G19</f>
        <v>4575</v>
      </c>
      <c r="J19" s="7">
        <f>E19*H19</f>
        <v>13863636.363636363</v>
      </c>
      <c r="K19" s="10">
        <f t="shared" si="4"/>
        <v>-1185</v>
      </c>
      <c r="L19" s="10">
        <f t="shared" si="4"/>
        <v>-3590909.0909090899</v>
      </c>
      <c r="M19" s="11">
        <f t="shared" si="5"/>
        <v>0.79427083333333337</v>
      </c>
    </row>
    <row r="20" spans="1:16" ht="16.5" customHeight="1" x14ac:dyDescent="0.35">
      <c r="A20" s="27" t="s">
        <v>25</v>
      </c>
      <c r="B20" s="131"/>
      <c r="C20" s="28">
        <f>SUM(C18:C19)</f>
        <v>26592</v>
      </c>
      <c r="D20" s="28">
        <f>SUM(D18:D19)</f>
        <v>80581818.181818187</v>
      </c>
      <c r="E20" s="29"/>
      <c r="F20" s="124"/>
      <c r="G20" s="28"/>
      <c r="H20" s="28"/>
      <c r="I20" s="28">
        <f>SUM(I18:I19)</f>
        <v>24030.600000000002</v>
      </c>
      <c r="J20" s="28">
        <f>SUM(J18:J19)</f>
        <v>72820000</v>
      </c>
      <c r="K20" s="28">
        <f>SUM(K18:K19)</f>
        <v>-2561.3999999999978</v>
      </c>
      <c r="L20" s="28">
        <f>SUM(L18:L19)</f>
        <v>-7761818.1818181835</v>
      </c>
      <c r="M20" s="30">
        <f t="shared" si="5"/>
        <v>0.90367779783393509</v>
      </c>
    </row>
    <row r="21" spans="1:16" ht="16.5" customHeight="1" x14ac:dyDescent="0.35">
      <c r="A21" s="23"/>
      <c r="B21" s="5"/>
      <c r="C21" s="24"/>
      <c r="D21" s="24"/>
      <c r="E21" s="25"/>
      <c r="F21" s="123"/>
      <c r="G21" s="24"/>
      <c r="H21" s="24"/>
      <c r="I21" s="24"/>
      <c r="J21" s="24"/>
      <c r="K21" s="24"/>
      <c r="L21" s="24"/>
      <c r="M21" s="24"/>
    </row>
    <row r="22" spans="1:16" ht="16.5" customHeight="1" x14ac:dyDescent="0.35">
      <c r="A22" s="26" t="s">
        <v>30</v>
      </c>
      <c r="B22" s="5"/>
      <c r="C22" s="24"/>
      <c r="D22" s="24"/>
      <c r="E22" s="25"/>
      <c r="F22" s="123"/>
      <c r="G22" s="24"/>
      <c r="H22" s="24"/>
      <c r="I22" s="24"/>
      <c r="J22" s="24"/>
      <c r="K22" s="24"/>
      <c r="L22" s="24"/>
      <c r="M22" s="24"/>
    </row>
    <row r="23" spans="1:16" ht="16.5" customHeight="1" x14ac:dyDescent="0.35">
      <c r="A23" s="7" t="s">
        <v>31</v>
      </c>
      <c r="B23" s="5" t="s">
        <v>17</v>
      </c>
      <c r="C23" s="10">
        <v>12000</v>
      </c>
      <c r="D23" s="10">
        <v>36363636.36363636</v>
      </c>
      <c r="E23" s="8">
        <v>3</v>
      </c>
      <c r="F23" s="31" t="s">
        <v>32</v>
      </c>
      <c r="G23" s="10">
        <v>1434.5199999999998</v>
      </c>
      <c r="H23" s="7">
        <v>4347030.3030303027</v>
      </c>
      <c r="I23" s="10">
        <f>E23*G23</f>
        <v>4303.5599999999995</v>
      </c>
      <c r="J23" s="10">
        <f>E23*H23</f>
        <v>13041090.909090908</v>
      </c>
      <c r="K23" s="10">
        <f t="shared" ref="K23:L24" si="6">+I23-C23</f>
        <v>-7696.4400000000005</v>
      </c>
      <c r="L23" s="10">
        <f t="shared" si="6"/>
        <v>-23322545.454545453</v>
      </c>
      <c r="M23" s="11">
        <f t="shared" ref="M23:M25" si="7">+I23/C23</f>
        <v>0.35862999999999995</v>
      </c>
    </row>
    <row r="24" spans="1:16" ht="16.5" customHeight="1" x14ac:dyDescent="0.35">
      <c r="A24" s="7" t="s">
        <v>33</v>
      </c>
      <c r="B24" s="5" t="s">
        <v>17</v>
      </c>
      <c r="C24" s="10">
        <v>4320</v>
      </c>
      <c r="D24" s="10">
        <v>13090909.090909092</v>
      </c>
      <c r="E24" s="8">
        <v>21</v>
      </c>
      <c r="F24" s="31" t="s">
        <v>28</v>
      </c>
      <c r="G24" s="10">
        <v>96.426190476190484</v>
      </c>
      <c r="H24" s="7">
        <v>292200.57720057725</v>
      </c>
      <c r="I24" s="10">
        <f>E24*G24</f>
        <v>2024.9500000000003</v>
      </c>
      <c r="J24" s="10">
        <f>E24*H24</f>
        <v>6136212.121212122</v>
      </c>
      <c r="K24" s="10">
        <f t="shared" si="6"/>
        <v>-2295.0499999999997</v>
      </c>
      <c r="L24" s="10">
        <f t="shared" si="6"/>
        <v>-6954696.9696969697</v>
      </c>
      <c r="M24" s="11">
        <f t="shared" si="7"/>
        <v>0.46873842592592602</v>
      </c>
    </row>
    <row r="25" spans="1:16" ht="16.5" customHeight="1" x14ac:dyDescent="0.35">
      <c r="A25" s="27" t="s">
        <v>25</v>
      </c>
      <c r="B25" s="19"/>
      <c r="C25" s="20">
        <f>SUM(C23:C24)</f>
        <v>16320</v>
      </c>
      <c r="D25" s="20">
        <f>SUM(D23:D24)</f>
        <v>49454545.454545453</v>
      </c>
      <c r="E25" s="21"/>
      <c r="F25" s="122"/>
      <c r="G25" s="20"/>
      <c r="H25" s="20"/>
      <c r="I25" s="20">
        <f>SUM(I23:I24)</f>
        <v>6328.51</v>
      </c>
      <c r="J25" s="20">
        <f>SUM(J23:J24)</f>
        <v>19177303.030303031</v>
      </c>
      <c r="K25" s="20">
        <f>SUM(K23:K24)</f>
        <v>-9991.49</v>
      </c>
      <c r="L25" s="20">
        <f>SUM(L23:L24)</f>
        <v>-30277242.424242422</v>
      </c>
      <c r="M25" s="22">
        <f t="shared" si="7"/>
        <v>0.38777634803921568</v>
      </c>
    </row>
    <row r="26" spans="1:16" ht="16.5" customHeight="1" x14ac:dyDescent="0.35">
      <c r="A26" s="23"/>
      <c r="B26" s="5"/>
      <c r="C26" s="24"/>
      <c r="D26" s="24"/>
      <c r="E26" s="25"/>
      <c r="F26" s="123"/>
      <c r="G26" s="24"/>
      <c r="H26" s="24"/>
      <c r="I26" s="24"/>
      <c r="J26" s="24"/>
      <c r="K26" s="24"/>
      <c r="L26" s="24"/>
      <c r="M26" s="24"/>
    </row>
    <row r="27" spans="1:16" ht="16.5" customHeight="1" x14ac:dyDescent="0.35">
      <c r="A27" s="26" t="s">
        <v>34</v>
      </c>
      <c r="B27" s="5"/>
      <c r="C27" s="24"/>
      <c r="D27" s="24"/>
      <c r="E27" s="25"/>
      <c r="F27" s="123"/>
      <c r="G27" s="24"/>
      <c r="H27" s="24"/>
      <c r="I27" s="24"/>
      <c r="J27" s="24"/>
      <c r="K27" s="24"/>
      <c r="L27" s="24"/>
      <c r="M27" s="24"/>
    </row>
    <row r="28" spans="1:16" ht="16.5" customHeight="1" x14ac:dyDescent="0.35">
      <c r="A28" s="7" t="s">
        <v>35</v>
      </c>
      <c r="B28" s="5" t="s">
        <v>17</v>
      </c>
      <c r="C28" s="14">
        <v>0</v>
      </c>
      <c r="D28" s="14">
        <v>0</v>
      </c>
      <c r="E28" s="8">
        <v>1</v>
      </c>
      <c r="F28" s="9" t="s">
        <v>36</v>
      </c>
      <c r="G28" s="14">
        <v>768.57031982034732</v>
      </c>
      <c r="H28" s="7">
        <v>2360000</v>
      </c>
      <c r="I28" s="10">
        <f t="shared" ref="I28:I29" si="8">E28*G28</f>
        <v>768.57031982034732</v>
      </c>
      <c r="J28" s="10">
        <f t="shared" ref="J28:J30" si="9">E28*H28</f>
        <v>2360000</v>
      </c>
      <c r="K28" s="10">
        <f t="shared" ref="K28:K29" si="10">+I28-C28</f>
        <v>768.57031982034732</v>
      </c>
      <c r="L28" s="10">
        <f>+J28-D28</f>
        <v>2360000</v>
      </c>
      <c r="M28" s="32"/>
      <c r="P28" s="4"/>
    </row>
    <row r="29" spans="1:16" ht="16.5" customHeight="1" x14ac:dyDescent="0.35">
      <c r="A29" s="7" t="s">
        <v>37</v>
      </c>
      <c r="B29" s="5" t="s">
        <v>17</v>
      </c>
      <c r="C29" s="14">
        <v>0</v>
      </c>
      <c r="D29" s="14">
        <v>0</v>
      </c>
      <c r="E29" s="8">
        <v>1</v>
      </c>
      <c r="F29" s="9" t="s">
        <v>38</v>
      </c>
      <c r="G29" s="14">
        <v>87.447221213382534</v>
      </c>
      <c r="H29" s="7">
        <v>269000</v>
      </c>
      <c r="I29" s="10">
        <f t="shared" si="8"/>
        <v>87.447221213382534</v>
      </c>
      <c r="J29" s="10">
        <f t="shared" si="9"/>
        <v>269000</v>
      </c>
      <c r="K29" s="10">
        <f t="shared" si="10"/>
        <v>87.447221213382534</v>
      </c>
      <c r="L29" s="10">
        <f>+J29-D29</f>
        <v>269000</v>
      </c>
      <c r="M29" s="32"/>
    </row>
    <row r="30" spans="1:16" ht="16.5" customHeight="1" x14ac:dyDescent="0.35">
      <c r="A30" s="7" t="s">
        <v>39</v>
      </c>
      <c r="B30" s="5" t="s">
        <v>17</v>
      </c>
      <c r="C30" s="14">
        <v>40600</v>
      </c>
      <c r="D30" s="14">
        <v>123030303.03030303</v>
      </c>
      <c r="E30" s="8">
        <v>1</v>
      </c>
      <c r="F30" s="9" t="s">
        <v>40</v>
      </c>
      <c r="G30" s="14">
        <v>40600</v>
      </c>
      <c r="H30" s="7">
        <v>123030303.03030303</v>
      </c>
      <c r="I30" s="10">
        <v>40600</v>
      </c>
      <c r="J30" s="10">
        <f t="shared" si="9"/>
        <v>123030303.03030303</v>
      </c>
      <c r="K30" s="32"/>
      <c r="L30" s="32"/>
      <c r="M30" s="32"/>
    </row>
    <row r="31" spans="1:16" ht="16.5" customHeight="1" x14ac:dyDescent="0.35">
      <c r="A31" s="18" t="s">
        <v>25</v>
      </c>
      <c r="B31" s="19"/>
      <c r="C31" s="20">
        <f>SUM(C28:C30)</f>
        <v>40600</v>
      </c>
      <c r="D31" s="20">
        <f t="shared" ref="D31" si="11">SUM(D28:D30)</f>
        <v>123030303.03030303</v>
      </c>
      <c r="E31" s="21"/>
      <c r="F31" s="122"/>
      <c r="G31" s="20"/>
      <c r="H31" s="20"/>
      <c r="I31" s="20">
        <f>SUM(I28:I30)</f>
        <v>41456.017541033732</v>
      </c>
      <c r="J31" s="20">
        <f>SUM(J28:J30)</f>
        <v>125659303.03030303</v>
      </c>
      <c r="K31" s="20">
        <f>SUM(K28:K29)</f>
        <v>856.01754103372991</v>
      </c>
      <c r="L31" s="20">
        <f>SUM(L28:L29)</f>
        <v>2629000</v>
      </c>
      <c r="M31" s="18"/>
      <c r="N31" s="4"/>
    </row>
    <row r="32" spans="1:16" ht="16.5" customHeight="1" x14ac:dyDescent="0.35">
      <c r="A32" s="23"/>
      <c r="B32" s="5"/>
      <c r="C32" s="24"/>
      <c r="D32" s="24"/>
      <c r="E32" s="25"/>
      <c r="F32" s="123"/>
      <c r="G32" s="24"/>
      <c r="H32" s="24"/>
      <c r="I32" s="24"/>
      <c r="J32" s="24"/>
      <c r="K32" s="24"/>
      <c r="L32" s="24"/>
      <c r="M32" s="23"/>
      <c r="N32" s="4"/>
    </row>
    <row r="33" spans="1:14" ht="16.5" customHeight="1" x14ac:dyDescent="0.35">
      <c r="A33" s="33" t="s">
        <v>41</v>
      </c>
      <c r="B33" s="5"/>
      <c r="C33" s="24"/>
      <c r="D33" s="24"/>
      <c r="E33" s="25"/>
      <c r="F33" s="123"/>
      <c r="G33" s="24"/>
      <c r="H33" s="24"/>
      <c r="I33" s="24"/>
      <c r="J33" s="24"/>
      <c r="K33" s="24"/>
      <c r="L33" s="24"/>
      <c r="M33" s="23"/>
      <c r="N33" s="4"/>
    </row>
    <row r="34" spans="1:14" ht="16.5" customHeight="1" x14ac:dyDescent="0.35">
      <c r="A34" s="7" t="s">
        <v>42</v>
      </c>
      <c r="B34" s="5" t="s">
        <v>17</v>
      </c>
      <c r="C34" s="34">
        <v>9599.9983200000006</v>
      </c>
      <c r="D34" s="10">
        <v>29090904.000000004</v>
      </c>
      <c r="E34" s="35">
        <v>12</v>
      </c>
      <c r="F34" s="31" t="s">
        <v>18</v>
      </c>
      <c r="G34" s="7">
        <v>800</v>
      </c>
      <c r="H34" s="7">
        <f>G34/C3</f>
        <v>2424242.4242424243</v>
      </c>
      <c r="I34" s="36">
        <f>E34*G34</f>
        <v>9600</v>
      </c>
      <c r="J34" s="36">
        <f>E34*H34</f>
        <v>29090909.090909094</v>
      </c>
      <c r="K34" s="10">
        <f t="shared" ref="K34:L49" si="12">+I34-C34</f>
        <v>1.6799999993963866E-3</v>
      </c>
      <c r="L34" s="10">
        <f t="shared" si="12"/>
        <v>5.0909090898931026</v>
      </c>
      <c r="M34" s="37">
        <f t="shared" ref="M34:M97" si="13">+I34/C34</f>
        <v>1.0000001750000305</v>
      </c>
    </row>
    <row r="35" spans="1:14" ht="16.5" customHeight="1" x14ac:dyDescent="0.35">
      <c r="A35" s="7" t="s">
        <v>43</v>
      </c>
      <c r="B35" s="5" t="s">
        <v>17</v>
      </c>
      <c r="C35" s="34">
        <v>79.199999999999989</v>
      </c>
      <c r="D35" s="10">
        <v>239999.99999999997</v>
      </c>
      <c r="E35" s="35">
        <v>12</v>
      </c>
      <c r="F35" s="9" t="s">
        <v>18</v>
      </c>
      <c r="G35" s="7">
        <v>6.5947687671875803</v>
      </c>
      <c r="H35" s="7">
        <v>20308.3</v>
      </c>
      <c r="I35" s="34">
        <f>+E35*G35</f>
        <v>79.13722520625096</v>
      </c>
      <c r="J35" s="34">
        <f>+E35*H35</f>
        <v>243699.59999999998</v>
      </c>
      <c r="K35" s="10">
        <f t="shared" si="12"/>
        <v>-6.277479374902839E-2</v>
      </c>
      <c r="L35" s="10">
        <f t="shared" si="12"/>
        <v>3699.6000000000058</v>
      </c>
      <c r="M35" s="37">
        <f t="shared" si="13"/>
        <v>0.99920738896781525</v>
      </c>
    </row>
    <row r="36" spans="1:14" ht="16.5" customHeight="1" x14ac:dyDescent="0.35">
      <c r="A36" s="7" t="s">
        <v>44</v>
      </c>
      <c r="B36" s="5" t="s">
        <v>17</v>
      </c>
      <c r="C36" s="34">
        <v>990</v>
      </c>
      <c r="D36" s="10">
        <v>3000000</v>
      </c>
      <c r="E36" s="35">
        <v>12</v>
      </c>
      <c r="F36" s="9" t="s">
        <v>18</v>
      </c>
      <c r="G36" s="7">
        <v>39.4</v>
      </c>
      <c r="H36" s="7">
        <v>121750</v>
      </c>
      <c r="I36" s="34">
        <f>+E36*G36</f>
        <v>472.79999999999995</v>
      </c>
      <c r="J36" s="34">
        <f>+E36*H36</f>
        <v>1461000</v>
      </c>
      <c r="K36" s="10">
        <f t="shared" si="12"/>
        <v>-517.20000000000005</v>
      </c>
      <c r="L36" s="10">
        <f t="shared" si="12"/>
        <v>-1539000</v>
      </c>
      <c r="M36" s="37">
        <f t="shared" si="13"/>
        <v>0.47757575757575754</v>
      </c>
    </row>
    <row r="37" spans="1:14" ht="16.5" customHeight="1" x14ac:dyDescent="0.35">
      <c r="A37" s="7" t="s">
        <v>45</v>
      </c>
      <c r="B37" s="5" t="s">
        <v>17</v>
      </c>
      <c r="C37" s="34">
        <v>396</v>
      </c>
      <c r="D37" s="10">
        <v>1200000</v>
      </c>
      <c r="E37" s="35">
        <v>12</v>
      </c>
      <c r="F37" s="9" t="s">
        <v>18</v>
      </c>
      <c r="G37" s="7">
        <v>11</v>
      </c>
      <c r="H37" s="7">
        <v>33750</v>
      </c>
      <c r="I37" s="34">
        <f>+E37*G37</f>
        <v>132</v>
      </c>
      <c r="J37" s="34">
        <f>+E37*H37</f>
        <v>405000</v>
      </c>
      <c r="K37" s="10">
        <f t="shared" si="12"/>
        <v>-264</v>
      </c>
      <c r="L37" s="10">
        <f t="shared" si="12"/>
        <v>-795000</v>
      </c>
      <c r="M37" s="37">
        <f t="shared" si="13"/>
        <v>0.33333333333333331</v>
      </c>
    </row>
    <row r="38" spans="1:14" ht="16.5" customHeight="1" x14ac:dyDescent="0.35">
      <c r="A38" s="7" t="s">
        <v>46</v>
      </c>
      <c r="B38" s="5" t="s">
        <v>17</v>
      </c>
      <c r="C38" s="34">
        <v>2970</v>
      </c>
      <c r="D38" s="10">
        <v>9000000</v>
      </c>
      <c r="E38" s="35">
        <v>12</v>
      </c>
      <c r="F38" s="9" t="s">
        <v>18</v>
      </c>
      <c r="G38" s="7">
        <v>0</v>
      </c>
      <c r="H38" s="7">
        <v>0</v>
      </c>
      <c r="I38" s="34">
        <f t="shared" ref="I38:I45" si="14">E38*G38</f>
        <v>0</v>
      </c>
      <c r="J38" s="34">
        <f t="shared" ref="J38:J45" si="15">E38*H38</f>
        <v>0</v>
      </c>
      <c r="K38" s="10">
        <f t="shared" si="12"/>
        <v>-2970</v>
      </c>
      <c r="L38" s="10">
        <f t="shared" si="12"/>
        <v>-9000000</v>
      </c>
      <c r="M38" s="37">
        <f t="shared" si="13"/>
        <v>0</v>
      </c>
    </row>
    <row r="39" spans="1:14" ht="16.5" customHeight="1" x14ac:dyDescent="0.35">
      <c r="A39" s="7" t="s">
        <v>47</v>
      </c>
      <c r="B39" s="5" t="s">
        <v>17</v>
      </c>
      <c r="C39" s="34">
        <v>2376</v>
      </c>
      <c r="D39" s="10">
        <v>7200000</v>
      </c>
      <c r="E39" s="35">
        <v>12</v>
      </c>
      <c r="F39" s="9" t="s">
        <v>18</v>
      </c>
      <c r="G39" s="7">
        <v>283.2</v>
      </c>
      <c r="H39" s="7">
        <v>873501</v>
      </c>
      <c r="I39" s="34">
        <f t="shared" ref="I39:I44" si="16">+E39*G39</f>
        <v>3398.3999999999996</v>
      </c>
      <c r="J39" s="34">
        <f>+E39*H39</f>
        <v>10482012</v>
      </c>
      <c r="K39" s="10">
        <f t="shared" si="12"/>
        <v>1022.3999999999996</v>
      </c>
      <c r="L39" s="10">
        <f t="shared" si="12"/>
        <v>3282012</v>
      </c>
      <c r="M39" s="37">
        <f t="shared" si="13"/>
        <v>1.4303030303030302</v>
      </c>
    </row>
    <row r="40" spans="1:14" ht="16.5" customHeight="1" x14ac:dyDescent="0.35">
      <c r="A40" s="7" t="s">
        <v>48</v>
      </c>
      <c r="B40" s="5" t="s">
        <v>17</v>
      </c>
      <c r="C40" s="34">
        <v>396</v>
      </c>
      <c r="D40" s="10">
        <v>1200000</v>
      </c>
      <c r="E40" s="35">
        <v>1</v>
      </c>
      <c r="F40" s="9" t="s">
        <v>49</v>
      </c>
      <c r="G40" s="7">
        <v>381.58</v>
      </c>
      <c r="H40" s="7">
        <v>1158213</v>
      </c>
      <c r="I40" s="34">
        <f t="shared" si="16"/>
        <v>381.58</v>
      </c>
      <c r="J40" s="34">
        <f>+E40*H40</f>
        <v>1158213</v>
      </c>
      <c r="K40" s="10">
        <f t="shared" si="12"/>
        <v>-14.420000000000016</v>
      </c>
      <c r="L40" s="10">
        <f t="shared" si="12"/>
        <v>-41787</v>
      </c>
      <c r="M40" s="37">
        <f t="shared" si="13"/>
        <v>0.96358585858585855</v>
      </c>
    </row>
    <row r="41" spans="1:14" ht="16.5" customHeight="1" x14ac:dyDescent="0.35">
      <c r="A41" s="7" t="s">
        <v>50</v>
      </c>
      <c r="B41" s="5" t="s">
        <v>17</v>
      </c>
      <c r="C41" s="34">
        <v>396</v>
      </c>
      <c r="D41" s="10">
        <v>1200000</v>
      </c>
      <c r="E41" s="35">
        <v>4</v>
      </c>
      <c r="F41" s="31" t="s">
        <v>51</v>
      </c>
      <c r="G41" s="7">
        <v>109</v>
      </c>
      <c r="H41" s="7">
        <v>335000</v>
      </c>
      <c r="I41" s="34">
        <f t="shared" si="16"/>
        <v>436</v>
      </c>
      <c r="J41" s="34">
        <f t="shared" si="15"/>
        <v>1340000</v>
      </c>
      <c r="K41" s="10">
        <f t="shared" si="12"/>
        <v>40</v>
      </c>
      <c r="L41" s="10">
        <f t="shared" si="12"/>
        <v>140000</v>
      </c>
      <c r="M41" s="37">
        <f t="shared" si="13"/>
        <v>1.101010101010101</v>
      </c>
    </row>
    <row r="42" spans="1:14" ht="16.5" customHeight="1" x14ac:dyDescent="0.35">
      <c r="A42" s="7" t="s">
        <v>52</v>
      </c>
      <c r="B42" s="5" t="s">
        <v>17</v>
      </c>
      <c r="C42" s="34">
        <v>594</v>
      </c>
      <c r="D42" s="10">
        <v>1800000</v>
      </c>
      <c r="E42" s="35">
        <v>12</v>
      </c>
      <c r="F42" s="9" t="s">
        <v>18</v>
      </c>
      <c r="G42" s="7">
        <v>57.6</v>
      </c>
      <c r="H42" s="7">
        <v>177141.7</v>
      </c>
      <c r="I42" s="34">
        <f t="shared" si="16"/>
        <v>691.2</v>
      </c>
      <c r="J42" s="34">
        <f t="shared" si="15"/>
        <v>2125700.4000000004</v>
      </c>
      <c r="K42" s="10">
        <f t="shared" si="12"/>
        <v>97.200000000000045</v>
      </c>
      <c r="L42" s="10">
        <f t="shared" si="12"/>
        <v>325700.40000000037</v>
      </c>
      <c r="M42" s="37">
        <f t="shared" si="13"/>
        <v>1.1636363636363638</v>
      </c>
    </row>
    <row r="43" spans="1:14" ht="16.5" customHeight="1" x14ac:dyDescent="0.35">
      <c r="A43" s="7" t="s">
        <v>53</v>
      </c>
      <c r="B43" s="5" t="s">
        <v>17</v>
      </c>
      <c r="C43" s="34">
        <v>1320</v>
      </c>
      <c r="D43" s="10">
        <v>4000000</v>
      </c>
      <c r="E43" s="35">
        <v>4</v>
      </c>
      <c r="F43" s="9" t="s">
        <v>51</v>
      </c>
      <c r="G43" s="7">
        <v>1342.4</v>
      </c>
      <c r="H43" s="7">
        <v>4120655.3</v>
      </c>
      <c r="I43" s="34">
        <f t="shared" si="16"/>
        <v>5369.6</v>
      </c>
      <c r="J43" s="34">
        <f t="shared" si="15"/>
        <v>16482621.199999999</v>
      </c>
      <c r="K43" s="10">
        <f t="shared" si="12"/>
        <v>4049.6000000000004</v>
      </c>
      <c r="L43" s="10">
        <f t="shared" si="12"/>
        <v>12482621.199999999</v>
      </c>
      <c r="M43" s="37">
        <f t="shared" si="13"/>
        <v>4.0678787878787883</v>
      </c>
    </row>
    <row r="44" spans="1:14" ht="16.5" customHeight="1" x14ac:dyDescent="0.35">
      <c r="A44" s="7" t="s">
        <v>54</v>
      </c>
      <c r="B44" s="5" t="s">
        <v>17</v>
      </c>
      <c r="C44" s="14">
        <v>3168</v>
      </c>
      <c r="D44" s="10">
        <v>9600000</v>
      </c>
      <c r="E44" s="35">
        <v>12</v>
      </c>
      <c r="F44" s="9" t="s">
        <v>18</v>
      </c>
      <c r="G44" s="7">
        <v>591</v>
      </c>
      <c r="H44" s="7">
        <v>1803082.1666666667</v>
      </c>
      <c r="I44" s="34">
        <f t="shared" si="16"/>
        <v>7092</v>
      </c>
      <c r="J44" s="34">
        <f t="shared" si="15"/>
        <v>21636986</v>
      </c>
      <c r="K44" s="10">
        <f t="shared" si="12"/>
        <v>3924</v>
      </c>
      <c r="L44" s="10">
        <f t="shared" si="12"/>
        <v>12036986</v>
      </c>
      <c r="M44" s="11">
        <f t="shared" si="13"/>
        <v>2.2386363636363638</v>
      </c>
    </row>
    <row r="45" spans="1:14" ht="16.5" customHeight="1" x14ac:dyDescent="0.35">
      <c r="A45" s="7" t="s">
        <v>55</v>
      </c>
      <c r="B45" s="5" t="s">
        <v>17</v>
      </c>
      <c r="C45" s="14">
        <v>1320</v>
      </c>
      <c r="D45" s="10">
        <v>4000000</v>
      </c>
      <c r="E45" s="35">
        <v>1</v>
      </c>
      <c r="F45" s="9" t="s">
        <v>49</v>
      </c>
      <c r="G45" s="7">
        <v>0</v>
      </c>
      <c r="H45" s="7">
        <v>0</v>
      </c>
      <c r="I45" s="34">
        <f t="shared" si="14"/>
        <v>0</v>
      </c>
      <c r="J45" s="34">
        <f t="shared" si="15"/>
        <v>0</v>
      </c>
      <c r="K45" s="10">
        <f t="shared" si="12"/>
        <v>-1320</v>
      </c>
      <c r="L45" s="10">
        <f t="shared" si="12"/>
        <v>-4000000</v>
      </c>
      <c r="M45" s="11">
        <f t="shared" si="13"/>
        <v>0</v>
      </c>
    </row>
    <row r="46" spans="1:14" ht="16.5" customHeight="1" x14ac:dyDescent="0.35">
      <c r="A46" s="7" t="s">
        <v>56</v>
      </c>
      <c r="B46" s="5" t="s">
        <v>17</v>
      </c>
      <c r="C46" s="14">
        <v>990</v>
      </c>
      <c r="D46" s="10">
        <v>3000000</v>
      </c>
      <c r="E46" s="35">
        <v>12</v>
      </c>
      <c r="F46" s="9" t="s">
        <v>18</v>
      </c>
      <c r="G46" s="7">
        <v>0</v>
      </c>
      <c r="H46" s="7">
        <v>0</v>
      </c>
      <c r="I46" s="34">
        <v>0</v>
      </c>
      <c r="J46" s="34">
        <v>0</v>
      </c>
      <c r="K46" s="10">
        <f t="shared" si="12"/>
        <v>-990</v>
      </c>
      <c r="L46" s="10">
        <f t="shared" si="12"/>
        <v>-3000000</v>
      </c>
      <c r="M46" s="11">
        <f t="shared" si="13"/>
        <v>0</v>
      </c>
    </row>
    <row r="47" spans="1:14" ht="16.5" customHeight="1" x14ac:dyDescent="0.35">
      <c r="A47" s="7" t="s">
        <v>57</v>
      </c>
      <c r="B47" s="5" t="s">
        <v>17</v>
      </c>
      <c r="C47" s="14">
        <v>1584</v>
      </c>
      <c r="D47" s="10">
        <v>4800000</v>
      </c>
      <c r="E47" s="35">
        <v>4</v>
      </c>
      <c r="F47" s="9" t="s">
        <v>51</v>
      </c>
      <c r="G47" s="14">
        <v>651.20000000000005</v>
      </c>
      <c r="H47" s="7">
        <v>1992250</v>
      </c>
      <c r="I47" s="34">
        <f>+E47*G47</f>
        <v>2604.8000000000002</v>
      </c>
      <c r="J47" s="34">
        <f t="shared" ref="J47:J50" si="17">E47*H47</f>
        <v>7969000</v>
      </c>
      <c r="K47" s="10">
        <f t="shared" si="12"/>
        <v>1020.8000000000002</v>
      </c>
      <c r="L47" s="10">
        <f t="shared" si="12"/>
        <v>3169000</v>
      </c>
      <c r="M47" s="11">
        <f t="shared" si="13"/>
        <v>1.6444444444444446</v>
      </c>
    </row>
    <row r="48" spans="1:14" ht="16.5" customHeight="1" x14ac:dyDescent="0.35">
      <c r="A48" s="7" t="s">
        <v>58</v>
      </c>
      <c r="B48" s="5" t="s">
        <v>17</v>
      </c>
      <c r="C48" s="14">
        <v>2970</v>
      </c>
      <c r="D48" s="10">
        <v>9000000</v>
      </c>
      <c r="E48" s="35">
        <v>1</v>
      </c>
      <c r="F48" s="9" t="s">
        <v>49</v>
      </c>
      <c r="G48" s="10">
        <v>0</v>
      </c>
      <c r="H48" s="10">
        <v>0</v>
      </c>
      <c r="I48" s="34">
        <f t="shared" ref="I48:I50" si="18">+E48*G48</f>
        <v>0</v>
      </c>
      <c r="J48" s="34">
        <f t="shared" si="17"/>
        <v>0</v>
      </c>
      <c r="K48" s="10">
        <f t="shared" si="12"/>
        <v>-2970</v>
      </c>
      <c r="L48" s="10">
        <f t="shared" si="12"/>
        <v>-9000000</v>
      </c>
      <c r="M48" s="11">
        <f t="shared" si="13"/>
        <v>0</v>
      </c>
    </row>
    <row r="49" spans="1:17" ht="16.5" customHeight="1" x14ac:dyDescent="0.35">
      <c r="A49" s="7" t="s">
        <v>59</v>
      </c>
      <c r="B49" s="5" t="s">
        <v>17</v>
      </c>
      <c r="C49" s="14">
        <v>316.79999999999995</v>
      </c>
      <c r="D49" s="10">
        <v>959999.99999999988</v>
      </c>
      <c r="E49" s="35">
        <v>12</v>
      </c>
      <c r="F49" s="9" t="s">
        <v>18</v>
      </c>
      <c r="G49" s="14">
        <v>11.8</v>
      </c>
      <c r="H49" s="7">
        <v>15816.7</v>
      </c>
      <c r="I49" s="34">
        <f t="shared" si="18"/>
        <v>141.60000000000002</v>
      </c>
      <c r="J49" s="34">
        <f t="shared" si="17"/>
        <v>189800.40000000002</v>
      </c>
      <c r="K49" s="10">
        <f t="shared" si="12"/>
        <v>-175.19999999999993</v>
      </c>
      <c r="L49" s="10">
        <f t="shared" si="12"/>
        <v>-770199.59999999986</v>
      </c>
      <c r="M49" s="11">
        <f t="shared" si="13"/>
        <v>0.44696969696969713</v>
      </c>
    </row>
    <row r="50" spans="1:17" ht="16.5" customHeight="1" x14ac:dyDescent="0.35">
      <c r="A50" s="7" t="s">
        <v>60</v>
      </c>
      <c r="B50" s="5" t="s">
        <v>17</v>
      </c>
      <c r="C50" s="14">
        <v>990</v>
      </c>
      <c r="D50" s="10">
        <v>3000000</v>
      </c>
      <c r="E50" s="35">
        <v>12</v>
      </c>
      <c r="F50" s="9" t="s">
        <v>18</v>
      </c>
      <c r="G50" s="14">
        <v>81.099999999999994</v>
      </c>
      <c r="H50" s="7">
        <v>249166.7</v>
      </c>
      <c r="I50" s="34">
        <f t="shared" si="18"/>
        <v>973.19999999999993</v>
      </c>
      <c r="J50" s="34">
        <f t="shared" si="17"/>
        <v>2990000.4000000004</v>
      </c>
      <c r="K50" s="10">
        <f t="shared" ref="K50:L52" si="19">+I50-C50</f>
        <v>-16.800000000000068</v>
      </c>
      <c r="L50" s="10">
        <f t="shared" si="19"/>
        <v>-9999.5999999996275</v>
      </c>
      <c r="M50" s="11">
        <f t="shared" si="13"/>
        <v>0.98303030303030292</v>
      </c>
    </row>
    <row r="51" spans="1:17" ht="16.5" customHeight="1" x14ac:dyDescent="0.35">
      <c r="A51" s="7" t="s">
        <v>61</v>
      </c>
      <c r="B51" s="5" t="s">
        <v>17</v>
      </c>
      <c r="C51" s="14">
        <v>118.80000000000001</v>
      </c>
      <c r="D51" s="10">
        <v>360000.00000000006</v>
      </c>
      <c r="E51" s="35">
        <v>12</v>
      </c>
      <c r="F51" s="9" t="s">
        <v>18</v>
      </c>
      <c r="G51" s="10">
        <v>0</v>
      </c>
      <c r="H51" s="10">
        <v>0</v>
      </c>
      <c r="I51" s="38">
        <v>0</v>
      </c>
      <c r="J51" s="38">
        <v>0</v>
      </c>
      <c r="K51" s="10">
        <f t="shared" si="19"/>
        <v>-118.80000000000001</v>
      </c>
      <c r="L51" s="10">
        <f t="shared" si="19"/>
        <v>-360000.00000000006</v>
      </c>
      <c r="M51" s="11">
        <f t="shared" si="13"/>
        <v>0</v>
      </c>
      <c r="N51" s="4"/>
    </row>
    <row r="52" spans="1:17" ht="16.5" customHeight="1" x14ac:dyDescent="0.35">
      <c r="A52" s="7" t="s">
        <v>62</v>
      </c>
      <c r="B52" s="5" t="s">
        <v>17</v>
      </c>
      <c r="C52" s="14">
        <v>198</v>
      </c>
      <c r="D52" s="10">
        <v>600000</v>
      </c>
      <c r="E52" s="35">
        <v>1</v>
      </c>
      <c r="F52" s="9" t="s">
        <v>49</v>
      </c>
      <c r="G52" s="10">
        <v>0</v>
      </c>
      <c r="H52" s="10">
        <v>0</v>
      </c>
      <c r="I52" s="38">
        <v>0</v>
      </c>
      <c r="J52" s="38">
        <v>0</v>
      </c>
      <c r="K52" s="10">
        <f t="shared" si="19"/>
        <v>-198</v>
      </c>
      <c r="L52" s="10">
        <f t="shared" si="19"/>
        <v>-600000</v>
      </c>
      <c r="M52" s="11">
        <f t="shared" si="13"/>
        <v>0</v>
      </c>
      <c r="N52" s="4"/>
    </row>
    <row r="53" spans="1:17" ht="16.5" customHeight="1" x14ac:dyDescent="0.35">
      <c r="A53" s="18" t="s">
        <v>25</v>
      </c>
      <c r="B53" s="19"/>
      <c r="C53" s="39">
        <f>SUM(C34:C52)</f>
        <v>30772.798320000002</v>
      </c>
      <c r="D53" s="39">
        <f>SUM(D34:D52)</f>
        <v>93250904</v>
      </c>
      <c r="E53" s="40"/>
      <c r="F53" s="125"/>
      <c r="G53" s="39"/>
      <c r="H53" s="39"/>
      <c r="I53" s="39">
        <f>SUM(I34:I52)</f>
        <v>31372.31722520625</v>
      </c>
      <c r="J53" s="39">
        <f>SUM(J34:J52)</f>
        <v>95574942.090909109</v>
      </c>
      <c r="K53" s="39">
        <f>SUM(K34:K52)</f>
        <v>599.51890520625079</v>
      </c>
      <c r="L53" s="39">
        <f>SUM(L34:L52)</f>
        <v>2324038.0909090899</v>
      </c>
      <c r="M53" s="22">
        <f t="shared" si="13"/>
        <v>1.0194821055586811</v>
      </c>
      <c r="N53" s="4"/>
      <c r="P53" s="4"/>
    </row>
    <row r="54" spans="1:17" ht="16.5" customHeight="1" x14ac:dyDescent="0.35">
      <c r="A54" s="41" t="s">
        <v>63</v>
      </c>
      <c r="B54" s="42"/>
      <c r="C54" s="43">
        <f>C15+C20+C25+C31+C53</f>
        <v>251168.16903970001</v>
      </c>
      <c r="D54" s="43">
        <f>D15+D20+D25+D31+D53</f>
        <v>761115663.75666666</v>
      </c>
      <c r="E54" s="44"/>
      <c r="F54" s="87"/>
      <c r="G54" s="43"/>
      <c r="H54" s="43"/>
      <c r="I54" s="43">
        <f>I15+I20+I25+I31+I53</f>
        <v>211130.84476623998</v>
      </c>
      <c r="J54" s="43">
        <f>J15+J20+J25+J31+J53</f>
        <v>642552519.60126054</v>
      </c>
      <c r="K54" s="43">
        <f>K15+K20+K25+K31+K53</f>
        <v>-40037.324273460014</v>
      </c>
      <c r="L54" s="43">
        <f>L15+L20+L25+L31+L53</f>
        <v>-118563144.15540607</v>
      </c>
      <c r="M54" s="45">
        <f t="shared" si="13"/>
        <v>0.84059554828728456</v>
      </c>
      <c r="N54" s="4"/>
      <c r="P54" s="4"/>
      <c r="Q54" s="4"/>
    </row>
    <row r="55" spans="1:17" ht="16.5" customHeight="1" x14ac:dyDescent="0.35">
      <c r="A55" s="132"/>
      <c r="B55" s="133"/>
      <c r="C55" s="46"/>
      <c r="D55" s="47"/>
      <c r="E55" s="48"/>
      <c r="F55" s="126"/>
      <c r="G55" s="47"/>
      <c r="H55" s="47"/>
      <c r="I55" s="47"/>
      <c r="J55" s="47"/>
      <c r="K55" s="47"/>
      <c r="L55" s="47"/>
      <c r="M55" s="49"/>
      <c r="P55" s="4"/>
      <c r="Q55" s="4"/>
    </row>
    <row r="56" spans="1:17" ht="16.5" customHeight="1" x14ac:dyDescent="0.35">
      <c r="A56" s="26" t="s">
        <v>64</v>
      </c>
      <c r="B56" s="133"/>
      <c r="C56" s="46"/>
      <c r="D56" s="47"/>
      <c r="E56" s="48"/>
      <c r="F56" s="126"/>
      <c r="G56" s="47"/>
      <c r="H56" s="47"/>
      <c r="I56" s="47"/>
      <c r="J56" s="47"/>
      <c r="K56" s="47"/>
      <c r="L56" s="47"/>
      <c r="M56" s="49"/>
      <c r="P56" s="4"/>
      <c r="Q56" s="4"/>
    </row>
    <row r="57" spans="1:17" ht="26" x14ac:dyDescent="0.35">
      <c r="A57" s="134" t="s">
        <v>65</v>
      </c>
      <c r="B57" s="5" t="s">
        <v>17</v>
      </c>
      <c r="C57" s="32">
        <v>2970</v>
      </c>
      <c r="D57" s="10">
        <v>9000000</v>
      </c>
      <c r="E57" s="35">
        <v>4</v>
      </c>
      <c r="F57" s="9" t="s">
        <v>51</v>
      </c>
      <c r="G57" s="14">
        <v>570.79999999999995</v>
      </c>
      <c r="H57" s="7">
        <v>1752031</v>
      </c>
      <c r="I57" s="34">
        <f t="shared" ref="I57:I58" si="20">+E57*G57</f>
        <v>2283.1999999999998</v>
      </c>
      <c r="J57" s="34">
        <f t="shared" ref="J57:J58" si="21">E57*H57</f>
        <v>7008124</v>
      </c>
      <c r="K57" s="10">
        <f t="shared" ref="K57:L62" si="22">+I57-C57</f>
        <v>-686.80000000000018</v>
      </c>
      <c r="L57" s="10">
        <f t="shared" si="22"/>
        <v>-1991876</v>
      </c>
      <c r="M57" s="50">
        <f t="shared" si="13"/>
        <v>0.76875420875420875</v>
      </c>
      <c r="P57" s="4"/>
    </row>
    <row r="58" spans="1:17" ht="26" x14ac:dyDescent="0.35">
      <c r="A58" s="56" t="s">
        <v>66</v>
      </c>
      <c r="B58" s="5" t="s">
        <v>17</v>
      </c>
      <c r="C58" s="10">
        <v>10634</v>
      </c>
      <c r="D58" s="10">
        <v>32224242.424242426</v>
      </c>
      <c r="E58" s="35">
        <v>1</v>
      </c>
      <c r="F58" s="31" t="s">
        <v>67</v>
      </c>
      <c r="G58" s="14">
        <v>2644</v>
      </c>
      <c r="H58" s="7">
        <v>8134000</v>
      </c>
      <c r="I58" s="34">
        <f t="shared" si="20"/>
        <v>2644</v>
      </c>
      <c r="J58" s="34">
        <f t="shared" si="21"/>
        <v>8134000</v>
      </c>
      <c r="K58" s="10">
        <f t="shared" si="22"/>
        <v>-7990</v>
      </c>
      <c r="L58" s="10">
        <f t="shared" si="22"/>
        <v>-24090242.424242426</v>
      </c>
      <c r="M58" s="50">
        <f>+I58/C58</f>
        <v>0.24863644912544669</v>
      </c>
      <c r="P58" s="4"/>
    </row>
    <row r="59" spans="1:17" ht="31.25" customHeight="1" x14ac:dyDescent="0.35">
      <c r="A59" s="135" t="s">
        <v>68</v>
      </c>
      <c r="B59" s="5" t="s">
        <v>17</v>
      </c>
      <c r="C59" s="32">
        <v>10720</v>
      </c>
      <c r="D59" s="10">
        <v>32484848.484848484</v>
      </c>
      <c r="E59" s="35">
        <v>1</v>
      </c>
      <c r="F59" s="127" t="s">
        <v>69</v>
      </c>
      <c r="G59" s="10">
        <v>13041.66</v>
      </c>
      <c r="H59" s="10">
        <f>G59/C3</f>
        <v>39520181.81818182</v>
      </c>
      <c r="I59" s="34">
        <f>E59*G59</f>
        <v>13041.66</v>
      </c>
      <c r="J59" s="34">
        <f>E59*H59</f>
        <v>39520181.81818182</v>
      </c>
      <c r="K59" s="10">
        <f>+I59-C59</f>
        <v>2321.66</v>
      </c>
      <c r="L59" s="10">
        <f t="shared" si="22"/>
        <v>7035333.3333333358</v>
      </c>
      <c r="M59" s="51">
        <f>+I59/C59</f>
        <v>1.2165727611940298</v>
      </c>
    </row>
    <row r="60" spans="1:17" ht="52" x14ac:dyDescent="0.35">
      <c r="A60" s="136" t="s">
        <v>70</v>
      </c>
      <c r="B60" s="5" t="s">
        <v>17</v>
      </c>
      <c r="C60" s="32">
        <v>5260</v>
      </c>
      <c r="D60" s="10">
        <v>15939393.939393939</v>
      </c>
      <c r="E60" s="35">
        <v>1</v>
      </c>
      <c r="F60" s="31" t="s">
        <v>67</v>
      </c>
      <c r="G60" s="14">
        <v>0</v>
      </c>
      <c r="H60" s="7">
        <f t="shared" ref="H60" si="23">+J60/E60</f>
        <v>0</v>
      </c>
      <c r="I60" s="34">
        <v>0</v>
      </c>
      <c r="J60" s="34">
        <v>0</v>
      </c>
      <c r="K60" s="10">
        <f t="shared" si="22"/>
        <v>-5260</v>
      </c>
      <c r="L60" s="10">
        <f t="shared" si="22"/>
        <v>-15939393.939393939</v>
      </c>
      <c r="M60" s="50">
        <f t="shared" si="13"/>
        <v>0</v>
      </c>
    </row>
    <row r="61" spans="1:17" ht="39" x14ac:dyDescent="0.35">
      <c r="A61" s="56" t="s">
        <v>71</v>
      </c>
      <c r="B61" s="5" t="s">
        <v>17</v>
      </c>
      <c r="C61" s="32">
        <v>20460</v>
      </c>
      <c r="D61" s="10">
        <v>62000000</v>
      </c>
      <c r="E61" s="35">
        <v>10</v>
      </c>
      <c r="F61" s="31" t="s">
        <v>67</v>
      </c>
      <c r="G61" s="14">
        <v>710.9</v>
      </c>
      <c r="H61" s="7">
        <v>2180857.2000000002</v>
      </c>
      <c r="I61" s="34">
        <f t="shared" ref="I61:I62" si="24">+E61*G61</f>
        <v>7109</v>
      </c>
      <c r="J61" s="34">
        <f>E61*H61</f>
        <v>21808572</v>
      </c>
      <c r="K61" s="10">
        <f>+I61-C61</f>
        <v>-13351</v>
      </c>
      <c r="L61" s="10">
        <f t="shared" si="22"/>
        <v>-40191428</v>
      </c>
      <c r="M61" s="50">
        <f>+I61/C61</f>
        <v>0.34745845552297167</v>
      </c>
    </row>
    <row r="62" spans="1:17" ht="26" x14ac:dyDescent="0.35">
      <c r="A62" s="56" t="s">
        <v>72</v>
      </c>
      <c r="B62" s="5" t="s">
        <v>17</v>
      </c>
      <c r="C62" s="32">
        <v>13350</v>
      </c>
      <c r="D62" s="10">
        <v>40454545.454545453</v>
      </c>
      <c r="E62" s="35">
        <v>10</v>
      </c>
      <c r="F62" s="31" t="s">
        <v>67</v>
      </c>
      <c r="G62" s="10">
        <v>7200</v>
      </c>
      <c r="H62" s="10">
        <v>21690106</v>
      </c>
      <c r="I62" s="34">
        <f t="shared" si="24"/>
        <v>72000</v>
      </c>
      <c r="J62" s="34">
        <f>E62*H62</f>
        <v>216901060</v>
      </c>
      <c r="K62" s="10">
        <f t="shared" si="22"/>
        <v>58650</v>
      </c>
      <c r="L62" s="10">
        <f t="shared" si="22"/>
        <v>176446514.54545456</v>
      </c>
      <c r="M62" s="50">
        <f t="shared" si="13"/>
        <v>5.393258426966292</v>
      </c>
      <c r="N62" s="4"/>
    </row>
    <row r="63" spans="1:17" ht="20" customHeight="1" x14ac:dyDescent="0.35">
      <c r="A63" s="137" t="s">
        <v>73</v>
      </c>
      <c r="B63" s="137"/>
      <c r="C63" s="52">
        <f>SUM(C57:C62)</f>
        <v>63394</v>
      </c>
      <c r="D63" s="52">
        <f t="shared" ref="D63:L63" si="25">SUM(D57:D62)</f>
        <v>192103030.30303031</v>
      </c>
      <c r="E63" s="53"/>
      <c r="F63" s="52"/>
      <c r="G63" s="52"/>
      <c r="H63" s="52"/>
      <c r="I63" s="52">
        <f t="shared" si="25"/>
        <v>97077.86</v>
      </c>
      <c r="J63" s="52">
        <f t="shared" si="25"/>
        <v>293371937.81818181</v>
      </c>
      <c r="K63" s="52">
        <f t="shared" si="25"/>
        <v>33683.86</v>
      </c>
      <c r="L63" s="52">
        <f t="shared" si="25"/>
        <v>101268907.51515153</v>
      </c>
      <c r="M63" s="54">
        <f t="shared" si="13"/>
        <v>1.5313414518724169</v>
      </c>
      <c r="N63" s="4"/>
    </row>
    <row r="64" spans="1:17" ht="27.65" customHeight="1" x14ac:dyDescent="0.35">
      <c r="A64" s="72" t="s">
        <v>74</v>
      </c>
      <c r="B64" s="5" t="s">
        <v>17</v>
      </c>
      <c r="C64" s="10">
        <v>9562</v>
      </c>
      <c r="D64" s="10">
        <v>28975757.575757574</v>
      </c>
      <c r="E64" s="35">
        <v>1</v>
      </c>
      <c r="F64" s="127" t="s">
        <v>69</v>
      </c>
      <c r="G64" s="10">
        <v>11572.414000000001</v>
      </c>
      <c r="H64" s="10">
        <v>35585835</v>
      </c>
      <c r="I64" s="34">
        <f>+E64*G64</f>
        <v>11572.414000000001</v>
      </c>
      <c r="J64" s="34">
        <f>+E64*H64</f>
        <v>35585835</v>
      </c>
      <c r="K64" s="10">
        <f t="shared" ref="K64:L70" si="26">+I64-C64</f>
        <v>2010.4140000000007</v>
      </c>
      <c r="L64" s="10">
        <f t="shared" si="26"/>
        <v>6610077.4242424257</v>
      </c>
      <c r="M64" s="50">
        <f t="shared" si="13"/>
        <v>1.2102503660322108</v>
      </c>
      <c r="N64" s="55"/>
    </row>
    <row r="65" spans="1:14" ht="19" customHeight="1" x14ac:dyDescent="0.35">
      <c r="A65" s="72" t="s">
        <v>75</v>
      </c>
      <c r="B65" s="5" t="s">
        <v>17</v>
      </c>
      <c r="C65" s="10">
        <v>11303</v>
      </c>
      <c r="D65" s="10">
        <v>34251515.151515149</v>
      </c>
      <c r="E65" s="35">
        <v>10</v>
      </c>
      <c r="F65" s="31" t="s">
        <v>67</v>
      </c>
      <c r="G65" s="10">
        <v>1486</v>
      </c>
      <c r="H65" s="10">
        <v>4563000</v>
      </c>
      <c r="I65" s="34">
        <f t="shared" ref="I65:I70" si="27">+E65*G65</f>
        <v>14860</v>
      </c>
      <c r="J65" s="34">
        <f t="shared" ref="J65:J70" si="28">+E65*H65</f>
        <v>45630000</v>
      </c>
      <c r="K65" s="10">
        <f t="shared" si="26"/>
        <v>3557</v>
      </c>
      <c r="L65" s="10">
        <f t="shared" si="26"/>
        <v>11378484.848484851</v>
      </c>
      <c r="M65" s="50">
        <f t="shared" si="13"/>
        <v>1.3146952136600902</v>
      </c>
      <c r="N65" s="55"/>
    </row>
    <row r="66" spans="1:14" ht="19" customHeight="1" x14ac:dyDescent="0.35">
      <c r="A66" s="72" t="s">
        <v>76</v>
      </c>
      <c r="B66" s="5" t="s">
        <v>17</v>
      </c>
      <c r="C66" s="10">
        <v>37455</v>
      </c>
      <c r="D66" s="10">
        <v>113500000</v>
      </c>
      <c r="E66" s="35">
        <v>10</v>
      </c>
      <c r="F66" s="31" t="s">
        <v>67</v>
      </c>
      <c r="G66" s="10">
        <v>2550.9</v>
      </c>
      <c r="H66" s="10">
        <v>7832800</v>
      </c>
      <c r="I66" s="34">
        <f t="shared" si="27"/>
        <v>25509</v>
      </c>
      <c r="J66" s="34">
        <f t="shared" si="28"/>
        <v>78328000</v>
      </c>
      <c r="K66" s="10">
        <f t="shared" si="26"/>
        <v>-11946</v>
      </c>
      <c r="L66" s="10">
        <f t="shared" si="26"/>
        <v>-35172000</v>
      </c>
      <c r="M66" s="50">
        <f t="shared" si="13"/>
        <v>0.68105726872246697</v>
      </c>
      <c r="N66" s="55"/>
    </row>
    <row r="67" spans="1:14" x14ac:dyDescent="0.35">
      <c r="A67" s="72" t="s">
        <v>77</v>
      </c>
      <c r="B67" s="5" t="s">
        <v>17</v>
      </c>
      <c r="C67" s="10">
        <v>9653</v>
      </c>
      <c r="D67" s="10">
        <v>29251515.151515152</v>
      </c>
      <c r="E67" s="35">
        <v>10</v>
      </c>
      <c r="F67" s="31" t="s">
        <v>67</v>
      </c>
      <c r="G67" s="10">
        <v>340.83</v>
      </c>
      <c r="H67" s="10">
        <v>1046600</v>
      </c>
      <c r="I67" s="34">
        <f t="shared" si="27"/>
        <v>3408.2999999999997</v>
      </c>
      <c r="J67" s="34">
        <f t="shared" si="28"/>
        <v>10466000</v>
      </c>
      <c r="K67" s="10">
        <f t="shared" si="26"/>
        <v>-6244.7000000000007</v>
      </c>
      <c r="L67" s="10">
        <f t="shared" si="26"/>
        <v>-18785515.151515152</v>
      </c>
      <c r="M67" s="50">
        <f t="shared" si="13"/>
        <v>0.35308194343727334</v>
      </c>
      <c r="N67" s="55"/>
    </row>
    <row r="68" spans="1:14" ht="26" customHeight="1" x14ac:dyDescent="0.35">
      <c r="A68" s="72" t="s">
        <v>78</v>
      </c>
      <c r="B68" s="5" t="s">
        <v>17</v>
      </c>
      <c r="C68" s="10">
        <v>19635</v>
      </c>
      <c r="D68" s="10">
        <v>59500000</v>
      </c>
      <c r="E68" s="35">
        <v>10</v>
      </c>
      <c r="F68" s="31" t="s">
        <v>67</v>
      </c>
      <c r="G68" s="10">
        <v>0</v>
      </c>
      <c r="H68" s="10">
        <v>0</v>
      </c>
      <c r="I68" s="34">
        <f t="shared" si="27"/>
        <v>0</v>
      </c>
      <c r="J68" s="34">
        <f t="shared" si="28"/>
        <v>0</v>
      </c>
      <c r="K68" s="10">
        <f t="shared" si="26"/>
        <v>-19635</v>
      </c>
      <c r="L68" s="10">
        <f t="shared" si="26"/>
        <v>-59500000</v>
      </c>
      <c r="M68" s="50">
        <f t="shared" si="13"/>
        <v>0</v>
      </c>
      <c r="N68" s="55"/>
    </row>
    <row r="69" spans="1:14" ht="39" x14ac:dyDescent="0.35">
      <c r="A69" s="56" t="s">
        <v>79</v>
      </c>
      <c r="B69" s="5" t="s">
        <v>17</v>
      </c>
      <c r="C69" s="10">
        <v>10817</v>
      </c>
      <c r="D69" s="10">
        <v>32778787.878787879</v>
      </c>
      <c r="E69" s="35">
        <v>10</v>
      </c>
      <c r="F69" s="31" t="s">
        <v>67</v>
      </c>
      <c r="G69" s="10">
        <v>1203.0999999999999</v>
      </c>
      <c r="H69" s="10">
        <v>3643705</v>
      </c>
      <c r="I69" s="34">
        <f t="shared" si="27"/>
        <v>12031</v>
      </c>
      <c r="J69" s="34">
        <f t="shared" si="28"/>
        <v>36437050</v>
      </c>
      <c r="K69" s="10">
        <f t="shared" si="26"/>
        <v>1214</v>
      </c>
      <c r="L69" s="10">
        <f t="shared" si="26"/>
        <v>3658262.1212121211</v>
      </c>
      <c r="M69" s="50">
        <f t="shared" si="13"/>
        <v>1.112230747896829</v>
      </c>
    </row>
    <row r="70" spans="1:14" ht="52" x14ac:dyDescent="0.35">
      <c r="A70" s="56" t="s">
        <v>80</v>
      </c>
      <c r="B70" s="6" t="s">
        <v>81</v>
      </c>
      <c r="C70" s="10">
        <v>6394</v>
      </c>
      <c r="D70" s="10">
        <v>19375757.575757574</v>
      </c>
      <c r="E70" s="35">
        <v>1</v>
      </c>
      <c r="F70" s="31" t="s">
        <v>67</v>
      </c>
      <c r="G70" s="10">
        <v>0</v>
      </c>
      <c r="H70" s="10">
        <v>0</v>
      </c>
      <c r="I70" s="34">
        <f t="shared" si="27"/>
        <v>0</v>
      </c>
      <c r="J70" s="34">
        <f t="shared" si="28"/>
        <v>0</v>
      </c>
      <c r="K70" s="10">
        <f t="shared" si="26"/>
        <v>-6394</v>
      </c>
      <c r="L70" s="10">
        <f t="shared" si="26"/>
        <v>-19375757.575757574</v>
      </c>
      <c r="M70" s="50">
        <f t="shared" si="13"/>
        <v>0</v>
      </c>
    </row>
    <row r="71" spans="1:14" ht="22" customHeight="1" x14ac:dyDescent="0.35">
      <c r="A71" s="137" t="s">
        <v>82</v>
      </c>
      <c r="B71" s="137"/>
      <c r="C71" s="39">
        <f>SUM(C64:C70)</f>
        <v>104819</v>
      </c>
      <c r="D71" s="39">
        <f t="shared" ref="D71:L71" si="29">SUM(D64:D70)</f>
        <v>317633333.33333331</v>
      </c>
      <c r="E71" s="40"/>
      <c r="F71" s="125"/>
      <c r="G71" s="39"/>
      <c r="H71" s="39"/>
      <c r="I71" s="39">
        <f t="shared" si="29"/>
        <v>67380.714000000007</v>
      </c>
      <c r="J71" s="39">
        <f t="shared" si="29"/>
        <v>206446885</v>
      </c>
      <c r="K71" s="39">
        <f t="shared" si="29"/>
        <v>-37438.286</v>
      </c>
      <c r="L71" s="39">
        <f t="shared" si="29"/>
        <v>-111186448.33333333</v>
      </c>
      <c r="M71" s="54">
        <f t="shared" si="13"/>
        <v>0.64282920081282979</v>
      </c>
    </row>
    <row r="72" spans="1:14" ht="66.650000000000006" customHeight="1" x14ac:dyDescent="0.35">
      <c r="A72" s="56" t="s">
        <v>83</v>
      </c>
      <c r="B72" s="6" t="s">
        <v>84</v>
      </c>
      <c r="C72" s="14">
        <v>4224</v>
      </c>
      <c r="D72" s="10">
        <v>12800000</v>
      </c>
      <c r="E72" s="35">
        <v>1</v>
      </c>
      <c r="F72" s="31" t="s">
        <v>67</v>
      </c>
      <c r="G72" s="10">
        <v>7662</v>
      </c>
      <c r="H72" s="10">
        <v>23623500</v>
      </c>
      <c r="I72" s="34">
        <f>+E72*G72</f>
        <v>7662</v>
      </c>
      <c r="J72" s="34">
        <f>+E72*H72</f>
        <v>23623500</v>
      </c>
      <c r="K72" s="10">
        <f t="shared" ref="K72:L74" si="30">+I72-C72</f>
        <v>3438</v>
      </c>
      <c r="L72" s="10">
        <f t="shared" si="30"/>
        <v>10823500</v>
      </c>
      <c r="M72" s="50">
        <f t="shared" si="13"/>
        <v>1.8139204545454546</v>
      </c>
    </row>
    <row r="73" spans="1:14" ht="58.25" customHeight="1" x14ac:dyDescent="0.35">
      <c r="A73" s="56" t="s">
        <v>85</v>
      </c>
      <c r="B73" s="6" t="s">
        <v>84</v>
      </c>
      <c r="C73" s="14">
        <v>17071</v>
      </c>
      <c r="D73" s="10">
        <v>51730303.030303031</v>
      </c>
      <c r="E73" s="35">
        <v>1</v>
      </c>
      <c r="F73" s="31" t="s">
        <v>67</v>
      </c>
      <c r="G73" s="10">
        <v>10314</v>
      </c>
      <c r="H73" s="10">
        <v>31716974</v>
      </c>
      <c r="I73" s="34">
        <f t="shared" ref="I73:I74" si="31">+E73*G73</f>
        <v>10314</v>
      </c>
      <c r="J73" s="34">
        <f t="shared" ref="J73:J74" si="32">+E73*H73</f>
        <v>31716974</v>
      </c>
      <c r="K73" s="10">
        <f t="shared" si="30"/>
        <v>-6757</v>
      </c>
      <c r="L73" s="10">
        <f t="shared" si="30"/>
        <v>-20013329.030303031</v>
      </c>
      <c r="M73" s="50">
        <f t="shared" si="13"/>
        <v>0.60418253177904047</v>
      </c>
    </row>
    <row r="74" spans="1:14" ht="69" customHeight="1" x14ac:dyDescent="0.35">
      <c r="A74" s="56" t="s">
        <v>86</v>
      </c>
      <c r="B74" s="6" t="s">
        <v>87</v>
      </c>
      <c r="C74" s="14">
        <v>12977</v>
      </c>
      <c r="D74" s="10">
        <v>39324242.424242422</v>
      </c>
      <c r="E74" s="35">
        <v>6</v>
      </c>
      <c r="F74" s="31" t="s">
        <v>67</v>
      </c>
      <c r="G74" s="10">
        <v>2532</v>
      </c>
      <c r="H74" s="10">
        <v>7719714.7000000002</v>
      </c>
      <c r="I74" s="34">
        <f t="shared" si="31"/>
        <v>15192</v>
      </c>
      <c r="J74" s="34">
        <f t="shared" si="32"/>
        <v>46318288.200000003</v>
      </c>
      <c r="K74" s="10">
        <f t="shared" si="30"/>
        <v>2215</v>
      </c>
      <c r="L74" s="10">
        <f t="shared" si="30"/>
        <v>6994045.775757581</v>
      </c>
      <c r="M74" s="50">
        <f t="shared" si="13"/>
        <v>1.1706865993681128</v>
      </c>
    </row>
    <row r="75" spans="1:14" ht="30.5" customHeight="1" x14ac:dyDescent="0.35">
      <c r="A75" s="137" t="s">
        <v>88</v>
      </c>
      <c r="B75" s="137"/>
      <c r="C75" s="57">
        <f>SUM(C72:C74)</f>
        <v>34272</v>
      </c>
      <c r="D75" s="57">
        <f>SUM(D72:D74)</f>
        <v>103854545.45454545</v>
      </c>
      <c r="E75" s="58"/>
      <c r="F75" s="57"/>
      <c r="G75" s="57"/>
      <c r="H75" s="57"/>
      <c r="I75" s="57">
        <f>SUM(I72:I74)</f>
        <v>33168</v>
      </c>
      <c r="J75" s="57">
        <f>SUM(J72:J74)</f>
        <v>101658762.2</v>
      </c>
      <c r="K75" s="57">
        <f>SUM(K72:K74)</f>
        <v>-1104</v>
      </c>
      <c r="L75" s="57">
        <f>SUM(L72:L74)</f>
        <v>-2195783.2545454502</v>
      </c>
      <c r="M75" s="54">
        <f t="shared" si="13"/>
        <v>0.96778711484593838</v>
      </c>
    </row>
    <row r="76" spans="1:14" s="63" customFormat="1" ht="29" customHeight="1" x14ac:dyDescent="0.35">
      <c r="A76" s="138" t="s">
        <v>89</v>
      </c>
      <c r="B76" s="138"/>
      <c r="C76" s="59">
        <f>+C63+C71+C75</f>
        <v>202485</v>
      </c>
      <c r="D76" s="59">
        <f>+D63+D71+D75</f>
        <v>613590909.09090912</v>
      </c>
      <c r="E76" s="60"/>
      <c r="F76" s="128"/>
      <c r="G76" s="59"/>
      <c r="H76" s="59"/>
      <c r="I76" s="59">
        <f>+I63+I71+I75</f>
        <v>197626.57400000002</v>
      </c>
      <c r="J76" s="59">
        <f>+J63+J71+J75</f>
        <v>601477585.0181818</v>
      </c>
      <c r="K76" s="59">
        <f>+K63+K71+K75</f>
        <v>-4858.4259999999995</v>
      </c>
      <c r="L76" s="59">
        <f>+L63+L71+L75</f>
        <v>-12113324.072727248</v>
      </c>
      <c r="M76" s="61">
        <f t="shared" si="13"/>
        <v>0.97600599550584</v>
      </c>
      <c r="N76" s="62"/>
    </row>
    <row r="77" spans="1:14" ht="62.4" customHeight="1" x14ac:dyDescent="0.35">
      <c r="A77" s="67" t="s">
        <v>90</v>
      </c>
      <c r="B77" s="6" t="s">
        <v>81</v>
      </c>
      <c r="C77" s="14">
        <v>10773</v>
      </c>
      <c r="D77" s="10">
        <v>32645454.545454547</v>
      </c>
      <c r="E77" s="35">
        <v>1</v>
      </c>
      <c r="F77" s="31" t="s">
        <v>67</v>
      </c>
      <c r="G77" s="10">
        <v>14664</v>
      </c>
      <c r="H77" s="10">
        <v>45109000</v>
      </c>
      <c r="I77" s="34">
        <f>+E77*G77</f>
        <v>14664</v>
      </c>
      <c r="J77" s="34">
        <f>+E77*H77</f>
        <v>45109000</v>
      </c>
      <c r="K77" s="10">
        <f t="shared" ref="K77:L79" si="33">+I77-C77</f>
        <v>3891</v>
      </c>
      <c r="L77" s="10">
        <f t="shared" si="33"/>
        <v>12463545.454545453</v>
      </c>
      <c r="M77" s="50">
        <f t="shared" si="13"/>
        <v>1.3611807296017822</v>
      </c>
    </row>
    <row r="78" spans="1:14" ht="76.75" customHeight="1" x14ac:dyDescent="0.35">
      <c r="A78" s="56" t="s">
        <v>91</v>
      </c>
      <c r="B78" s="6" t="s">
        <v>92</v>
      </c>
      <c r="C78" s="14">
        <v>42040</v>
      </c>
      <c r="D78" s="10">
        <v>127393939.39393939</v>
      </c>
      <c r="E78" s="35">
        <v>1</v>
      </c>
      <c r="F78" s="31" t="s">
        <v>67</v>
      </c>
      <c r="G78" s="10">
        <v>21768</v>
      </c>
      <c r="H78" s="10">
        <v>66773455</v>
      </c>
      <c r="I78" s="34">
        <f>+E78*G78</f>
        <v>21768</v>
      </c>
      <c r="J78" s="34">
        <f>+E78*H78</f>
        <v>66773455</v>
      </c>
      <c r="K78" s="10">
        <f t="shared" si="33"/>
        <v>-20272</v>
      </c>
      <c r="L78" s="10">
        <f t="shared" si="33"/>
        <v>-60620484.393939391</v>
      </c>
      <c r="M78" s="50">
        <f t="shared" si="13"/>
        <v>0.51779257849666982</v>
      </c>
    </row>
    <row r="79" spans="1:14" ht="74.400000000000006" customHeight="1" x14ac:dyDescent="0.35">
      <c r="A79" s="56" t="s">
        <v>93</v>
      </c>
      <c r="B79" s="6" t="s">
        <v>92</v>
      </c>
      <c r="C79" s="14">
        <v>33000</v>
      </c>
      <c r="D79" s="10">
        <v>100000000</v>
      </c>
      <c r="E79" s="35">
        <v>5</v>
      </c>
      <c r="F79" s="31" t="s">
        <v>67</v>
      </c>
      <c r="G79" s="10">
        <v>0</v>
      </c>
      <c r="H79" s="10">
        <v>0</v>
      </c>
      <c r="I79" s="38">
        <f>+E79*G79</f>
        <v>0</v>
      </c>
      <c r="J79" s="38">
        <f>+E79*H79</f>
        <v>0</v>
      </c>
      <c r="K79" s="10">
        <f t="shared" si="33"/>
        <v>-33000</v>
      </c>
      <c r="L79" s="10">
        <f t="shared" si="33"/>
        <v>-100000000</v>
      </c>
      <c r="M79" s="50">
        <f t="shared" si="13"/>
        <v>0</v>
      </c>
    </row>
    <row r="80" spans="1:14" ht="29.5" customHeight="1" x14ac:dyDescent="0.35">
      <c r="A80" s="137" t="s">
        <v>94</v>
      </c>
      <c r="B80" s="137"/>
      <c r="C80" s="57">
        <f>SUM(C77:C79)</f>
        <v>85813</v>
      </c>
      <c r="D80" s="57">
        <f t="shared" ref="D80:L80" si="34">SUM(D77:D79)</f>
        <v>260039393.93939394</v>
      </c>
      <c r="E80" s="58"/>
      <c r="F80" s="57"/>
      <c r="G80" s="57"/>
      <c r="H80" s="57"/>
      <c r="I80" s="57">
        <f t="shared" si="34"/>
        <v>36432</v>
      </c>
      <c r="J80" s="57">
        <f t="shared" si="34"/>
        <v>111882455</v>
      </c>
      <c r="K80" s="57">
        <f t="shared" si="34"/>
        <v>-49381</v>
      </c>
      <c r="L80" s="57">
        <f t="shared" si="34"/>
        <v>-148156938.93939394</v>
      </c>
      <c r="M80" s="54">
        <f t="shared" si="13"/>
        <v>0.42455105869740017</v>
      </c>
    </row>
    <row r="81" spans="1:17" ht="54.5" customHeight="1" x14ac:dyDescent="0.35">
      <c r="A81" s="56" t="s">
        <v>95</v>
      </c>
      <c r="B81" s="6" t="s">
        <v>81</v>
      </c>
      <c r="C81" s="10">
        <v>10172</v>
      </c>
      <c r="D81" s="10">
        <v>30824242.424242426</v>
      </c>
      <c r="E81" s="35">
        <v>1</v>
      </c>
      <c r="F81" s="31" t="s">
        <v>67</v>
      </c>
      <c r="G81" s="10">
        <v>20361</v>
      </c>
      <c r="H81" s="10">
        <v>62620000</v>
      </c>
      <c r="I81" s="34">
        <f>+E81*G81</f>
        <v>20361</v>
      </c>
      <c r="J81" s="34">
        <f>+E81*H81</f>
        <v>62620000</v>
      </c>
      <c r="K81" s="10">
        <f>+I81-C81</f>
        <v>10189</v>
      </c>
      <c r="L81" s="10">
        <f>+J81-D81</f>
        <v>31795757.575757574</v>
      </c>
      <c r="M81" s="50">
        <f t="shared" si="13"/>
        <v>2.0016712544239086</v>
      </c>
    </row>
    <row r="82" spans="1:17" ht="83.5" customHeight="1" x14ac:dyDescent="0.35">
      <c r="A82" s="56" t="s">
        <v>96</v>
      </c>
      <c r="B82" s="6" t="s">
        <v>97</v>
      </c>
      <c r="C82" s="10">
        <v>6455</v>
      </c>
      <c r="D82" s="10">
        <v>19560606.060606062</v>
      </c>
      <c r="E82" s="35">
        <v>1</v>
      </c>
      <c r="F82" s="31" t="s">
        <v>67</v>
      </c>
      <c r="G82" s="10">
        <v>7121</v>
      </c>
      <c r="H82" s="10">
        <v>21517499</v>
      </c>
      <c r="I82" s="34">
        <f>+E82*G82</f>
        <v>7121</v>
      </c>
      <c r="J82" s="34">
        <f>+E82*H82</f>
        <v>21517499</v>
      </c>
      <c r="K82" s="10">
        <f>+I82-C82</f>
        <v>666</v>
      </c>
      <c r="L82" s="10">
        <f>+J82-D82</f>
        <v>1956892.9393939376</v>
      </c>
      <c r="M82" s="50">
        <f t="shared" si="13"/>
        <v>1.1031758326878389</v>
      </c>
      <c r="Q82" s="64"/>
    </row>
    <row r="83" spans="1:17" ht="28" customHeight="1" x14ac:dyDescent="0.35">
      <c r="A83" s="65" t="s">
        <v>98</v>
      </c>
      <c r="B83" s="66"/>
      <c r="C83" s="57">
        <f>SUM(C81:C82)</f>
        <v>16627</v>
      </c>
      <c r="D83" s="57">
        <f t="shared" ref="D83:L83" si="35">SUM(D81:D82)</f>
        <v>50384848.484848484</v>
      </c>
      <c r="E83" s="58"/>
      <c r="F83" s="57"/>
      <c r="G83" s="57"/>
      <c r="H83" s="57"/>
      <c r="I83" s="57">
        <f t="shared" si="35"/>
        <v>27482</v>
      </c>
      <c r="J83" s="57">
        <f t="shared" si="35"/>
        <v>84137499</v>
      </c>
      <c r="K83" s="57">
        <f t="shared" si="35"/>
        <v>10855</v>
      </c>
      <c r="L83" s="57">
        <f t="shared" si="35"/>
        <v>33752650.515151516</v>
      </c>
      <c r="M83" s="54">
        <f t="shared" si="13"/>
        <v>1.6528537920250195</v>
      </c>
    </row>
    <row r="84" spans="1:17" ht="52" x14ac:dyDescent="0.35">
      <c r="A84" s="67" t="s">
        <v>99</v>
      </c>
      <c r="B84" s="6" t="s">
        <v>100</v>
      </c>
      <c r="C84" s="14">
        <v>27839</v>
      </c>
      <c r="D84" s="10">
        <v>84360606.060606062</v>
      </c>
      <c r="E84" s="35">
        <v>5</v>
      </c>
      <c r="F84" s="31" t="s">
        <v>67</v>
      </c>
      <c r="G84" s="10">
        <v>6765.1</v>
      </c>
      <c r="H84" s="10">
        <v>20803486.800000001</v>
      </c>
      <c r="I84" s="10">
        <f>+E84*G84</f>
        <v>33825.5</v>
      </c>
      <c r="J84" s="10">
        <f>+E84*H84</f>
        <v>104017434</v>
      </c>
      <c r="K84" s="10">
        <f t="shared" ref="K84:L89" si="36">+I84-C84</f>
        <v>5986.5</v>
      </c>
      <c r="L84" s="10">
        <f t="shared" si="36"/>
        <v>19656827.939393938</v>
      </c>
      <c r="M84" s="50">
        <f t="shared" si="13"/>
        <v>1.2150400517259958</v>
      </c>
    </row>
    <row r="85" spans="1:17" ht="43.75" customHeight="1" x14ac:dyDescent="0.35">
      <c r="A85" s="67" t="s">
        <v>101</v>
      </c>
      <c r="B85" s="6" t="s">
        <v>87</v>
      </c>
      <c r="C85" s="14">
        <v>8144</v>
      </c>
      <c r="D85" s="10">
        <v>24678787.878787879</v>
      </c>
      <c r="E85" s="35">
        <v>1</v>
      </c>
      <c r="F85" s="31" t="s">
        <v>67</v>
      </c>
      <c r="G85" s="10">
        <v>249</v>
      </c>
      <c r="H85" s="10">
        <v>762000</v>
      </c>
      <c r="I85" s="10">
        <f t="shared" ref="I85:I89" si="37">+E85*G85</f>
        <v>249</v>
      </c>
      <c r="J85" s="10">
        <f t="shared" ref="J85:J89" si="38">+E85*H85</f>
        <v>762000</v>
      </c>
      <c r="K85" s="10">
        <f t="shared" si="36"/>
        <v>-7895</v>
      </c>
      <c r="L85" s="10">
        <f t="shared" si="36"/>
        <v>-23916787.878787879</v>
      </c>
      <c r="M85" s="50">
        <f t="shared" si="13"/>
        <v>3.0574656188605109E-2</v>
      </c>
    </row>
    <row r="86" spans="1:17" ht="58" customHeight="1" x14ac:dyDescent="0.35">
      <c r="A86" s="67" t="s">
        <v>102</v>
      </c>
      <c r="B86" s="6" t="s">
        <v>87</v>
      </c>
      <c r="C86" s="14">
        <v>49772</v>
      </c>
      <c r="D86" s="10">
        <v>150824242.42424244</v>
      </c>
      <c r="E86" s="35">
        <v>5</v>
      </c>
      <c r="F86" s="31" t="s">
        <v>67</v>
      </c>
      <c r="G86" s="10">
        <v>8967.6</v>
      </c>
      <c r="H86" s="10">
        <v>27547188.800000001</v>
      </c>
      <c r="I86" s="10">
        <f t="shared" si="37"/>
        <v>44838</v>
      </c>
      <c r="J86" s="10">
        <f t="shared" si="38"/>
        <v>137735944</v>
      </c>
      <c r="K86" s="10">
        <f t="shared" si="36"/>
        <v>-4934</v>
      </c>
      <c r="L86" s="10">
        <f t="shared" si="36"/>
        <v>-13088298.424242437</v>
      </c>
      <c r="M86" s="50">
        <f t="shared" si="13"/>
        <v>0.90086795788796914</v>
      </c>
    </row>
    <row r="87" spans="1:17" ht="60" customHeight="1" x14ac:dyDescent="0.35">
      <c r="A87" s="67" t="s">
        <v>103</v>
      </c>
      <c r="B87" s="6" t="s">
        <v>87</v>
      </c>
      <c r="C87" s="14">
        <v>13811</v>
      </c>
      <c r="D87" s="10">
        <v>41851515.151515149</v>
      </c>
      <c r="E87" s="35">
        <v>1</v>
      </c>
      <c r="F87" s="31" t="s">
        <v>67</v>
      </c>
      <c r="G87" s="10">
        <v>143</v>
      </c>
      <c r="H87" s="10">
        <v>435000</v>
      </c>
      <c r="I87" s="10">
        <f t="shared" si="37"/>
        <v>143</v>
      </c>
      <c r="J87" s="10">
        <f t="shared" si="38"/>
        <v>435000</v>
      </c>
      <c r="K87" s="10">
        <f t="shared" si="36"/>
        <v>-13668</v>
      </c>
      <c r="L87" s="10">
        <f t="shared" si="36"/>
        <v>-41416515.151515149</v>
      </c>
      <c r="M87" s="50">
        <f t="shared" si="13"/>
        <v>1.035406559988415E-2</v>
      </c>
    </row>
    <row r="88" spans="1:17" ht="87" customHeight="1" x14ac:dyDescent="0.35">
      <c r="A88" s="67" t="s">
        <v>104</v>
      </c>
      <c r="B88" s="6" t="s">
        <v>105</v>
      </c>
      <c r="C88" s="14">
        <v>8491</v>
      </c>
      <c r="D88" s="10">
        <v>25730303.030303031</v>
      </c>
      <c r="E88" s="35">
        <v>2</v>
      </c>
      <c r="F88" s="31" t="s">
        <v>67</v>
      </c>
      <c r="G88" s="10">
        <v>0</v>
      </c>
      <c r="H88" s="10">
        <v>0</v>
      </c>
      <c r="I88" s="10">
        <f t="shared" si="37"/>
        <v>0</v>
      </c>
      <c r="J88" s="10">
        <f t="shared" si="38"/>
        <v>0</v>
      </c>
      <c r="K88" s="10">
        <f t="shared" si="36"/>
        <v>-8491</v>
      </c>
      <c r="L88" s="10">
        <f t="shared" si="36"/>
        <v>-25730303.030303031</v>
      </c>
      <c r="M88" s="50">
        <f t="shared" si="13"/>
        <v>0</v>
      </c>
    </row>
    <row r="89" spans="1:17" ht="82.75" customHeight="1" x14ac:dyDescent="0.35">
      <c r="A89" s="67" t="s">
        <v>106</v>
      </c>
      <c r="B89" s="6" t="s">
        <v>105</v>
      </c>
      <c r="C89" s="14">
        <v>9183</v>
      </c>
      <c r="D89" s="10">
        <v>27827272.727272727</v>
      </c>
      <c r="E89" s="35">
        <v>1</v>
      </c>
      <c r="F89" s="31" t="s">
        <v>67</v>
      </c>
      <c r="G89" s="10">
        <v>14874</v>
      </c>
      <c r="H89" s="10">
        <v>45836280</v>
      </c>
      <c r="I89" s="10">
        <f t="shared" si="37"/>
        <v>14874</v>
      </c>
      <c r="J89" s="10">
        <f t="shared" si="38"/>
        <v>45836280</v>
      </c>
      <c r="K89" s="10">
        <f t="shared" si="36"/>
        <v>5691</v>
      </c>
      <c r="L89" s="10">
        <f t="shared" si="36"/>
        <v>18009007.272727273</v>
      </c>
      <c r="M89" s="50">
        <f t="shared" si="13"/>
        <v>1.6197321136883371</v>
      </c>
    </row>
    <row r="90" spans="1:17" ht="23.5" customHeight="1" x14ac:dyDescent="0.35">
      <c r="A90" s="137" t="s">
        <v>107</v>
      </c>
      <c r="B90" s="137"/>
      <c r="C90" s="57">
        <f>SUM(C84:C89)</f>
        <v>117240</v>
      </c>
      <c r="D90" s="57">
        <f t="shared" ref="D90:L90" si="39">SUM(D84:D89)</f>
        <v>355272727.27272725</v>
      </c>
      <c r="E90" s="58"/>
      <c r="F90" s="57"/>
      <c r="G90" s="57"/>
      <c r="H90" s="57"/>
      <c r="I90" s="57">
        <f t="shared" si="39"/>
        <v>93929.5</v>
      </c>
      <c r="J90" s="57">
        <f t="shared" si="39"/>
        <v>288786658</v>
      </c>
      <c r="K90" s="57">
        <f t="shared" si="39"/>
        <v>-23310.5</v>
      </c>
      <c r="L90" s="57">
        <f t="shared" si="39"/>
        <v>-66486069.272727288</v>
      </c>
      <c r="M90" s="54">
        <f t="shared" si="13"/>
        <v>0.80117280791538725</v>
      </c>
    </row>
    <row r="91" spans="1:17" ht="23.5" customHeight="1" x14ac:dyDescent="0.35">
      <c r="A91" s="114" t="s">
        <v>108</v>
      </c>
      <c r="B91" s="114"/>
      <c r="C91" s="68">
        <f>+C80+C83+C90</f>
        <v>219680</v>
      </c>
      <c r="D91" s="68">
        <f t="shared" ref="D91:L91" si="40">+D80+D83+D90</f>
        <v>665696969.69696975</v>
      </c>
      <c r="E91" s="69"/>
      <c r="F91" s="68"/>
      <c r="G91" s="68"/>
      <c r="H91" s="68"/>
      <c r="I91" s="68">
        <f>+I80+I83+I90</f>
        <v>157843.5</v>
      </c>
      <c r="J91" s="68">
        <f>+J80+J83+J90</f>
        <v>484806612</v>
      </c>
      <c r="K91" s="68">
        <f t="shared" si="40"/>
        <v>-61836.5</v>
      </c>
      <c r="L91" s="68">
        <f t="shared" si="40"/>
        <v>-180890357.69696972</v>
      </c>
      <c r="M91" s="70">
        <f t="shared" si="13"/>
        <v>0.71851556809905315</v>
      </c>
      <c r="N91" s="4"/>
    </row>
    <row r="92" spans="1:17" ht="37.25" customHeight="1" x14ac:dyDescent="0.35">
      <c r="A92" s="67" t="s">
        <v>109</v>
      </c>
      <c r="B92" s="6" t="s">
        <v>81</v>
      </c>
      <c r="C92" s="14">
        <v>19800</v>
      </c>
      <c r="D92" s="10">
        <v>60000000</v>
      </c>
      <c r="E92" s="35">
        <v>10</v>
      </c>
      <c r="F92" s="31" t="s">
        <v>110</v>
      </c>
      <c r="G92" s="10">
        <v>1246.7</v>
      </c>
      <c r="H92" s="10">
        <v>3861250</v>
      </c>
      <c r="I92" s="10">
        <f>+E92*G92</f>
        <v>12467</v>
      </c>
      <c r="J92" s="10">
        <f>+E92*H92</f>
        <v>38612500</v>
      </c>
      <c r="K92" s="10">
        <f t="shared" ref="K92:L94" si="41">+I92-C92</f>
        <v>-7333</v>
      </c>
      <c r="L92" s="10">
        <f t="shared" si="41"/>
        <v>-21387500</v>
      </c>
      <c r="M92" s="50">
        <f t="shared" si="13"/>
        <v>0.62964646464646468</v>
      </c>
    </row>
    <row r="93" spans="1:17" ht="45.65" customHeight="1" x14ac:dyDescent="0.35">
      <c r="A93" s="67" t="s">
        <v>111</v>
      </c>
      <c r="B93" s="6" t="s">
        <v>81</v>
      </c>
      <c r="C93" s="14">
        <v>19206</v>
      </c>
      <c r="D93" s="10">
        <v>58200000</v>
      </c>
      <c r="E93" s="35">
        <v>10</v>
      </c>
      <c r="F93" s="31" t="s">
        <v>112</v>
      </c>
      <c r="G93" s="10">
        <v>0</v>
      </c>
      <c r="H93" s="10">
        <v>0</v>
      </c>
      <c r="I93" s="10">
        <f>+E93*G93</f>
        <v>0</v>
      </c>
      <c r="J93" s="10">
        <f>+E93*H93</f>
        <v>0</v>
      </c>
      <c r="K93" s="10">
        <f t="shared" si="41"/>
        <v>-19206</v>
      </c>
      <c r="L93" s="10">
        <f t="shared" si="41"/>
        <v>-58200000</v>
      </c>
      <c r="M93" s="50">
        <f t="shared" si="13"/>
        <v>0</v>
      </c>
    </row>
    <row r="94" spans="1:17" ht="73.75" customHeight="1" x14ac:dyDescent="0.35">
      <c r="A94" s="72" t="s">
        <v>113</v>
      </c>
      <c r="B94" s="71" t="s">
        <v>17</v>
      </c>
      <c r="C94" s="14">
        <v>6930</v>
      </c>
      <c r="D94" s="10">
        <v>21000000</v>
      </c>
      <c r="E94" s="35">
        <v>10</v>
      </c>
      <c r="F94" s="31" t="s">
        <v>114</v>
      </c>
      <c r="G94" s="10">
        <v>176.8</v>
      </c>
      <c r="H94" s="10">
        <v>540000</v>
      </c>
      <c r="I94" s="10">
        <f>+E94*G94</f>
        <v>1768</v>
      </c>
      <c r="J94" s="10">
        <f>+E94*H94</f>
        <v>5400000</v>
      </c>
      <c r="K94" s="10">
        <f t="shared" si="41"/>
        <v>-5162</v>
      </c>
      <c r="L94" s="10">
        <f t="shared" si="41"/>
        <v>-15600000</v>
      </c>
      <c r="M94" s="50">
        <f t="shared" si="13"/>
        <v>0.25512265512265514</v>
      </c>
    </row>
    <row r="95" spans="1:17" ht="25" customHeight="1" x14ac:dyDescent="0.35">
      <c r="A95" s="137" t="s">
        <v>115</v>
      </c>
      <c r="B95" s="137"/>
      <c r="C95" s="57">
        <f t="shared" ref="C95:L95" si="42">SUM(C92:C94)</f>
        <v>45936</v>
      </c>
      <c r="D95" s="57">
        <f t="shared" si="42"/>
        <v>139200000</v>
      </c>
      <c r="E95" s="58"/>
      <c r="F95" s="57"/>
      <c r="G95" s="57"/>
      <c r="H95" s="57"/>
      <c r="I95" s="57">
        <f t="shared" si="42"/>
        <v>14235</v>
      </c>
      <c r="J95" s="57">
        <f t="shared" si="42"/>
        <v>44012500</v>
      </c>
      <c r="K95" s="57">
        <f t="shared" si="42"/>
        <v>-31701</v>
      </c>
      <c r="L95" s="57">
        <f t="shared" si="42"/>
        <v>-95187500</v>
      </c>
      <c r="M95" s="54">
        <f t="shared" si="13"/>
        <v>0.30988766980146293</v>
      </c>
    </row>
    <row r="96" spans="1:17" ht="26" x14ac:dyDescent="0.35">
      <c r="A96" s="56" t="s">
        <v>116</v>
      </c>
      <c r="B96" s="6" t="s">
        <v>100</v>
      </c>
      <c r="C96" s="10">
        <v>2310</v>
      </c>
      <c r="D96" s="10">
        <v>7000000</v>
      </c>
      <c r="E96" s="35">
        <v>1</v>
      </c>
      <c r="F96" s="31" t="s">
        <v>117</v>
      </c>
      <c r="G96" s="10">
        <v>983</v>
      </c>
      <c r="H96" s="10">
        <v>3000000</v>
      </c>
      <c r="I96" s="10">
        <f>+E96*G96</f>
        <v>983</v>
      </c>
      <c r="J96" s="10">
        <f>+E96*H96</f>
        <v>3000000</v>
      </c>
      <c r="K96" s="10">
        <f t="shared" ref="K96:L98" si="43">+I96-C96</f>
        <v>-1327</v>
      </c>
      <c r="L96" s="10">
        <f t="shared" si="43"/>
        <v>-4000000</v>
      </c>
      <c r="M96" s="50">
        <f t="shared" si="13"/>
        <v>0.42554112554112555</v>
      </c>
    </row>
    <row r="97" spans="1:14" ht="42.65" customHeight="1" x14ac:dyDescent="0.35">
      <c r="A97" s="67" t="s">
        <v>118</v>
      </c>
      <c r="B97" s="6" t="s">
        <v>17</v>
      </c>
      <c r="C97" s="10">
        <v>5429</v>
      </c>
      <c r="D97" s="10">
        <v>16451515.151515152</v>
      </c>
      <c r="E97" s="35">
        <v>1</v>
      </c>
      <c r="F97" s="31" t="s">
        <v>119</v>
      </c>
      <c r="G97" s="10">
        <v>1615</v>
      </c>
      <c r="H97" s="10">
        <v>4900000</v>
      </c>
      <c r="I97" s="10">
        <f t="shared" ref="I97:I98" si="44">+E97*G97</f>
        <v>1615</v>
      </c>
      <c r="J97" s="10">
        <f t="shared" ref="J97:J98" si="45">+E97*H97</f>
        <v>4900000</v>
      </c>
      <c r="K97" s="10">
        <f t="shared" si="43"/>
        <v>-3814</v>
      </c>
      <c r="L97" s="10">
        <f t="shared" si="43"/>
        <v>-11551515.151515152</v>
      </c>
      <c r="M97" s="50">
        <f t="shared" si="13"/>
        <v>0.29747651501197275</v>
      </c>
    </row>
    <row r="98" spans="1:14" ht="89.4" customHeight="1" x14ac:dyDescent="0.35">
      <c r="A98" s="72" t="s">
        <v>120</v>
      </c>
      <c r="B98" s="71" t="s">
        <v>121</v>
      </c>
      <c r="C98" s="10">
        <v>32667</v>
      </c>
      <c r="D98" s="10">
        <v>98990909.090909094</v>
      </c>
      <c r="E98" s="35">
        <v>6</v>
      </c>
      <c r="F98" s="31" t="s">
        <v>122</v>
      </c>
      <c r="G98" s="10">
        <v>5364.5</v>
      </c>
      <c r="H98" s="10">
        <v>16466078</v>
      </c>
      <c r="I98" s="10">
        <f t="shared" si="44"/>
        <v>32187</v>
      </c>
      <c r="J98" s="10">
        <f t="shared" si="45"/>
        <v>98796468</v>
      </c>
      <c r="K98" s="10">
        <f t="shared" si="43"/>
        <v>-480</v>
      </c>
      <c r="L98" s="10">
        <f t="shared" si="43"/>
        <v>-194441.09090909362</v>
      </c>
      <c r="M98" s="50">
        <f t="shared" ref="M98:M113" si="46">+I98/C98</f>
        <v>0.9853062723849757</v>
      </c>
    </row>
    <row r="99" spans="1:14" ht="22" customHeight="1" x14ac:dyDescent="0.35">
      <c r="A99" s="137" t="s">
        <v>123</v>
      </c>
      <c r="B99" s="137"/>
      <c r="C99" s="57">
        <f>SUM(C96:C98)</f>
        <v>40406</v>
      </c>
      <c r="D99" s="57">
        <f t="shared" ref="D99:L99" si="47">SUM(D96:D98)</f>
        <v>122442424.24242425</v>
      </c>
      <c r="E99" s="58"/>
      <c r="F99" s="57"/>
      <c r="G99" s="57"/>
      <c r="H99" s="57"/>
      <c r="I99" s="57">
        <f t="shared" si="47"/>
        <v>34785</v>
      </c>
      <c r="J99" s="57">
        <f t="shared" si="47"/>
        <v>106696468</v>
      </c>
      <c r="K99" s="57">
        <f t="shared" si="47"/>
        <v>-5621</v>
      </c>
      <c r="L99" s="57">
        <f t="shared" si="47"/>
        <v>-15745956.242424246</v>
      </c>
      <c r="M99" s="54">
        <f t="shared" si="46"/>
        <v>0.86088699698064641</v>
      </c>
    </row>
    <row r="100" spans="1:14" ht="22" customHeight="1" x14ac:dyDescent="0.35">
      <c r="A100" s="114" t="s">
        <v>124</v>
      </c>
      <c r="B100" s="114"/>
      <c r="C100" s="68">
        <f>+C95+C99</f>
        <v>86342</v>
      </c>
      <c r="D100" s="68">
        <f t="shared" ref="D100:L100" si="48">+D95+D99</f>
        <v>261642424.24242425</v>
      </c>
      <c r="E100" s="69"/>
      <c r="F100" s="68"/>
      <c r="G100" s="68"/>
      <c r="H100" s="68"/>
      <c r="I100" s="68">
        <f>+I95+I99</f>
        <v>49020</v>
      </c>
      <c r="J100" s="68">
        <f>+J95+J99</f>
        <v>150708968</v>
      </c>
      <c r="K100" s="68">
        <f t="shared" si="48"/>
        <v>-37322</v>
      </c>
      <c r="L100" s="68">
        <f t="shared" si="48"/>
        <v>-110933456.24242425</v>
      </c>
      <c r="M100" s="70">
        <f t="shared" si="46"/>
        <v>0.56774223437029492</v>
      </c>
    </row>
    <row r="101" spans="1:14" ht="40" customHeight="1" x14ac:dyDescent="0.35">
      <c r="A101" s="67" t="s">
        <v>125</v>
      </c>
      <c r="B101" s="6" t="s">
        <v>17</v>
      </c>
      <c r="C101" s="14">
        <v>3102</v>
      </c>
      <c r="D101" s="10">
        <v>9400000</v>
      </c>
      <c r="E101" s="35">
        <v>4</v>
      </c>
      <c r="F101" s="31" t="s">
        <v>51</v>
      </c>
      <c r="G101" s="10">
        <v>1299.5</v>
      </c>
      <c r="H101" s="10">
        <v>3996040</v>
      </c>
      <c r="I101" s="10">
        <f>+E101*G101</f>
        <v>5198</v>
      </c>
      <c r="J101" s="10">
        <f>+E101*H101</f>
        <v>15984160</v>
      </c>
      <c r="K101" s="10">
        <f>+I101-C101</f>
        <v>2096</v>
      </c>
      <c r="L101" s="10">
        <f>+J101-D101</f>
        <v>6584160</v>
      </c>
      <c r="M101" s="50">
        <f t="shared" si="46"/>
        <v>1.675693101225016</v>
      </c>
    </row>
    <row r="102" spans="1:14" ht="53.4" customHeight="1" x14ac:dyDescent="0.35">
      <c r="A102" s="67" t="s">
        <v>126</v>
      </c>
      <c r="B102" s="6" t="s">
        <v>17</v>
      </c>
      <c r="C102" s="14">
        <v>20000</v>
      </c>
      <c r="D102" s="10">
        <v>60606060.606060609</v>
      </c>
      <c r="E102" s="35">
        <v>1</v>
      </c>
      <c r="F102" s="31" t="s">
        <v>127</v>
      </c>
      <c r="G102" s="10">
        <v>0</v>
      </c>
      <c r="H102" s="10">
        <v>0</v>
      </c>
      <c r="I102" s="38">
        <f>+E102*G102</f>
        <v>0</v>
      </c>
      <c r="J102" s="38">
        <f>+E102*H102</f>
        <v>0</v>
      </c>
      <c r="K102" s="10">
        <f>+I102-C102</f>
        <v>-20000</v>
      </c>
      <c r="L102" s="10">
        <f>+J102-D102</f>
        <v>-60606060.606060609</v>
      </c>
      <c r="M102" s="50">
        <f t="shared" si="46"/>
        <v>0</v>
      </c>
    </row>
    <row r="103" spans="1:14" s="73" customFormat="1" ht="17" customHeight="1" x14ac:dyDescent="0.35">
      <c r="A103" s="137" t="s">
        <v>128</v>
      </c>
      <c r="B103" s="137"/>
      <c r="C103" s="57">
        <f>SUM(C101:C102)</f>
        <v>23102</v>
      </c>
      <c r="D103" s="57">
        <f t="shared" ref="D103:L103" si="49">SUM(D101:D102)</f>
        <v>70006060.606060609</v>
      </c>
      <c r="E103" s="58"/>
      <c r="F103" s="57"/>
      <c r="G103" s="57"/>
      <c r="H103" s="57"/>
      <c r="I103" s="57">
        <f t="shared" si="49"/>
        <v>5198</v>
      </c>
      <c r="J103" s="57">
        <f t="shared" si="49"/>
        <v>15984160</v>
      </c>
      <c r="K103" s="57">
        <f t="shared" si="49"/>
        <v>-17904</v>
      </c>
      <c r="L103" s="57">
        <f t="shared" si="49"/>
        <v>-54021900.606060609</v>
      </c>
      <c r="M103" s="54">
        <f t="shared" si="46"/>
        <v>0.22500216431477793</v>
      </c>
    </row>
    <row r="104" spans="1:14" ht="17" customHeight="1" x14ac:dyDescent="0.35">
      <c r="A104" s="74" t="s">
        <v>129</v>
      </c>
      <c r="B104" s="75" t="s">
        <v>17</v>
      </c>
      <c r="C104" s="10">
        <v>7920</v>
      </c>
      <c r="D104" s="10">
        <v>24000000</v>
      </c>
      <c r="E104" s="35">
        <v>4</v>
      </c>
      <c r="F104" s="31" t="s">
        <v>51</v>
      </c>
      <c r="G104" s="10">
        <v>1329.3</v>
      </c>
      <c r="H104" s="10">
        <v>4046312.5</v>
      </c>
      <c r="I104" s="10">
        <f>+E104*G104</f>
        <v>5317.2</v>
      </c>
      <c r="J104" s="10">
        <f>+E104*H104</f>
        <v>16185250</v>
      </c>
      <c r="K104" s="10">
        <f t="shared" ref="K104:L106" si="50">+I104-C104</f>
        <v>-2602.8000000000002</v>
      </c>
      <c r="L104" s="10">
        <f t="shared" si="50"/>
        <v>-7814750</v>
      </c>
      <c r="M104" s="50">
        <f t="shared" si="46"/>
        <v>0.67136363636363638</v>
      </c>
    </row>
    <row r="105" spans="1:14" ht="17" customHeight="1" x14ac:dyDescent="0.35">
      <c r="A105" s="74" t="s">
        <v>130</v>
      </c>
      <c r="B105" s="75" t="s">
        <v>17</v>
      </c>
      <c r="C105" s="10">
        <v>8844</v>
      </c>
      <c r="D105" s="10">
        <v>26800000</v>
      </c>
      <c r="E105" s="35">
        <v>1</v>
      </c>
      <c r="F105" s="31" t="s">
        <v>131</v>
      </c>
      <c r="G105" s="10">
        <v>273</v>
      </c>
      <c r="H105" s="10">
        <v>839000</v>
      </c>
      <c r="I105" s="10">
        <f t="shared" ref="I105:I106" si="51">+E105*G105</f>
        <v>273</v>
      </c>
      <c r="J105" s="10">
        <f t="shared" ref="J105:J106" si="52">+E105*H105</f>
        <v>839000</v>
      </c>
      <c r="K105" s="10">
        <f t="shared" si="50"/>
        <v>-8571</v>
      </c>
      <c r="L105" s="10">
        <f t="shared" si="50"/>
        <v>-25961000</v>
      </c>
      <c r="M105" s="50">
        <f t="shared" si="46"/>
        <v>3.0868385345997285E-2</v>
      </c>
    </row>
    <row r="106" spans="1:14" ht="17" customHeight="1" x14ac:dyDescent="0.35">
      <c r="A106" s="74" t="s">
        <v>132</v>
      </c>
      <c r="B106" s="75" t="s">
        <v>17</v>
      </c>
      <c r="C106" s="10">
        <v>10000</v>
      </c>
      <c r="D106" s="10">
        <v>30303030.303030305</v>
      </c>
      <c r="E106" s="35">
        <v>4</v>
      </c>
      <c r="F106" s="31" t="s">
        <v>51</v>
      </c>
      <c r="G106" s="10">
        <v>32</v>
      </c>
      <c r="H106" s="10">
        <v>98250</v>
      </c>
      <c r="I106" s="10">
        <f t="shared" si="51"/>
        <v>128</v>
      </c>
      <c r="J106" s="10">
        <f t="shared" si="52"/>
        <v>393000</v>
      </c>
      <c r="K106" s="10">
        <f t="shared" si="50"/>
        <v>-9872</v>
      </c>
      <c r="L106" s="10">
        <f t="shared" si="50"/>
        <v>-29910030.303030305</v>
      </c>
      <c r="M106" s="50">
        <f t="shared" si="46"/>
        <v>1.2800000000000001E-2</v>
      </c>
    </row>
    <row r="107" spans="1:14" s="73" customFormat="1" ht="17" customHeight="1" x14ac:dyDescent="0.35">
      <c r="A107" s="137" t="s">
        <v>133</v>
      </c>
      <c r="B107" s="137"/>
      <c r="C107" s="57">
        <f>SUM(C104:C106)</f>
        <v>26764</v>
      </c>
      <c r="D107" s="57">
        <f>SUM(D104:D106)</f>
        <v>81103030.303030312</v>
      </c>
      <c r="E107" s="58"/>
      <c r="F107" s="57"/>
      <c r="G107" s="57"/>
      <c r="H107" s="57"/>
      <c r="I107" s="57">
        <f>SUM(I104:I106)</f>
        <v>5718.2</v>
      </c>
      <c r="J107" s="57">
        <f>SUM(J104:J106)</f>
        <v>17417250</v>
      </c>
      <c r="K107" s="57">
        <f t="shared" ref="K107:L107" si="53">SUM(K104:K106)</f>
        <v>-21045.8</v>
      </c>
      <c r="L107" s="57">
        <f t="shared" si="53"/>
        <v>-63685780.303030305</v>
      </c>
      <c r="M107" s="54">
        <f t="shared" si="46"/>
        <v>0.21365266776266625</v>
      </c>
    </row>
    <row r="108" spans="1:14" s="73" customFormat="1" ht="17" customHeight="1" x14ac:dyDescent="0.35">
      <c r="A108" s="114" t="s">
        <v>134</v>
      </c>
      <c r="B108" s="114"/>
      <c r="C108" s="68">
        <f>+C103+C107</f>
        <v>49866</v>
      </c>
      <c r="D108" s="68">
        <f t="shared" ref="D108:L108" si="54">+D103+D107</f>
        <v>151109090.90909094</v>
      </c>
      <c r="E108" s="69"/>
      <c r="F108" s="68"/>
      <c r="G108" s="68"/>
      <c r="H108" s="68"/>
      <c r="I108" s="68">
        <f t="shared" si="54"/>
        <v>10916.2</v>
      </c>
      <c r="J108" s="68">
        <f t="shared" si="54"/>
        <v>33401410</v>
      </c>
      <c r="K108" s="68">
        <f t="shared" si="54"/>
        <v>-38949.800000000003</v>
      </c>
      <c r="L108" s="68">
        <f t="shared" si="54"/>
        <v>-117707680.90909091</v>
      </c>
      <c r="M108" s="70">
        <f t="shared" si="46"/>
        <v>0.21891068062407254</v>
      </c>
    </row>
    <row r="109" spans="1:14" ht="17" customHeight="1" x14ac:dyDescent="0.35">
      <c r="A109" s="115" t="s">
        <v>135</v>
      </c>
      <c r="B109" s="115"/>
      <c r="C109" s="77">
        <f>+C76+C91+C100+C108</f>
        <v>558373</v>
      </c>
      <c r="D109" s="77">
        <f t="shared" ref="D109:L109" si="55">+D76+D91+D100+D108</f>
        <v>1692039393.9393942</v>
      </c>
      <c r="E109" s="78"/>
      <c r="F109" s="77"/>
      <c r="G109" s="77"/>
      <c r="H109" s="77"/>
      <c r="I109" s="77">
        <f t="shared" si="55"/>
        <v>415406.27400000003</v>
      </c>
      <c r="J109" s="77">
        <f t="shared" si="55"/>
        <v>1270394575.0181818</v>
      </c>
      <c r="K109" s="77">
        <f t="shared" si="55"/>
        <v>-142966.72600000002</v>
      </c>
      <c r="L109" s="77">
        <f t="shared" si="55"/>
        <v>-421644818.92121208</v>
      </c>
      <c r="M109" s="79">
        <f t="shared" si="46"/>
        <v>0.74395838265818737</v>
      </c>
      <c r="N109" s="4"/>
    </row>
    <row r="110" spans="1:14" ht="17" customHeight="1" x14ac:dyDescent="0.35">
      <c r="A110" s="80"/>
      <c r="B110" s="80"/>
      <c r="C110" s="81"/>
      <c r="D110" s="81"/>
      <c r="E110" s="82"/>
      <c r="F110" s="81"/>
      <c r="G110" s="81"/>
      <c r="H110" s="81"/>
      <c r="I110" s="81"/>
      <c r="J110" s="81"/>
      <c r="K110" s="81"/>
      <c r="L110" s="81"/>
      <c r="M110" s="83"/>
    </row>
    <row r="111" spans="1:14" ht="17" customHeight="1" x14ac:dyDescent="0.35">
      <c r="A111" s="76" t="s">
        <v>136</v>
      </c>
      <c r="B111" s="76"/>
      <c r="C111" s="77">
        <f>C54+C109</f>
        <v>809541.16903969995</v>
      </c>
      <c r="D111" s="77">
        <f>D54+D109</f>
        <v>2453155057.6960611</v>
      </c>
      <c r="E111" s="78"/>
      <c r="F111" s="77"/>
      <c r="G111" s="77"/>
      <c r="H111" s="77"/>
      <c r="I111" s="77">
        <f>I54+I109</f>
        <v>626537.11876624008</v>
      </c>
      <c r="J111" s="77">
        <f>J54+J109</f>
        <v>1912947094.6194425</v>
      </c>
      <c r="K111" s="77">
        <f>K54+K109</f>
        <v>-183004.05027346004</v>
      </c>
      <c r="L111" s="77">
        <f>L54+L109</f>
        <v>-540207963.07661819</v>
      </c>
      <c r="M111" s="79">
        <f t="shared" si="46"/>
        <v>0.77394102082474159</v>
      </c>
      <c r="N111" s="4"/>
    </row>
    <row r="112" spans="1:14" ht="17" customHeight="1" x14ac:dyDescent="0.35">
      <c r="A112" s="67" t="s">
        <v>137</v>
      </c>
      <c r="B112" s="80"/>
      <c r="C112" s="84">
        <f>8%*C111</f>
        <v>64763.293523175998</v>
      </c>
      <c r="D112" s="84">
        <f>8%*D111</f>
        <v>196252404.6156849</v>
      </c>
      <c r="E112" s="85"/>
      <c r="F112" s="84"/>
      <c r="G112" s="84"/>
      <c r="H112" s="84"/>
      <c r="I112" s="84">
        <f>8%*I111</f>
        <v>50122.969501299209</v>
      </c>
      <c r="J112" s="84">
        <f>8%*J111</f>
        <v>153035767.5695554</v>
      </c>
      <c r="K112" s="84">
        <f>8%*K111</f>
        <v>-14640.324021876804</v>
      </c>
      <c r="L112" s="84">
        <f>8%*L111</f>
        <v>-43216637.046129458</v>
      </c>
      <c r="M112" s="83"/>
      <c r="N112" s="86"/>
    </row>
    <row r="113" spans="1:14" ht="17" customHeight="1" x14ac:dyDescent="0.35">
      <c r="A113" s="116" t="s">
        <v>25</v>
      </c>
      <c r="B113" s="116"/>
      <c r="C113" s="87">
        <f>C111+C112</f>
        <v>874304.46256287594</v>
      </c>
      <c r="D113" s="87">
        <f>D111+D112</f>
        <v>2649407462.3117461</v>
      </c>
      <c r="E113" s="44"/>
      <c r="F113" s="87"/>
      <c r="G113" s="87"/>
      <c r="H113" s="87"/>
      <c r="I113" s="87">
        <f>I111+I112</f>
        <v>676660.08826753928</v>
      </c>
      <c r="J113" s="87">
        <f>J111+J112</f>
        <v>2065982862.1889977</v>
      </c>
      <c r="K113" s="87">
        <f>K111+K112</f>
        <v>-197644.37429533683</v>
      </c>
      <c r="L113" s="87">
        <f>L111+L112</f>
        <v>-583424600.12274766</v>
      </c>
      <c r="M113" s="88">
        <f t="shared" si="46"/>
        <v>0.77394102082474159</v>
      </c>
    </row>
    <row r="114" spans="1:14" ht="23" customHeight="1" x14ac:dyDescent="0.35">
      <c r="A114" s="7" t="s">
        <v>138</v>
      </c>
      <c r="B114" s="7"/>
      <c r="C114" s="10">
        <f>C113*1%</f>
        <v>8743.0446256287596</v>
      </c>
      <c r="D114" s="10">
        <f>D113*1%</f>
        <v>26494074.623117462</v>
      </c>
      <c r="E114" s="35"/>
      <c r="F114" s="31"/>
      <c r="G114" s="10"/>
      <c r="H114" s="10"/>
      <c r="I114" s="32"/>
      <c r="J114" s="32"/>
      <c r="K114" s="32"/>
      <c r="L114" s="32"/>
      <c r="M114" s="32"/>
    </row>
    <row r="115" spans="1:14" ht="24" customHeight="1" x14ac:dyDescent="0.35">
      <c r="A115" s="89" t="s">
        <v>139</v>
      </c>
      <c r="B115" s="89"/>
      <c r="C115" s="90">
        <f>C113+C114</f>
        <v>883047.50718850468</v>
      </c>
      <c r="D115" s="90">
        <f>D113+D114</f>
        <v>2675901536.9348636</v>
      </c>
      <c r="E115" s="91"/>
      <c r="F115" s="129"/>
      <c r="G115" s="90"/>
      <c r="H115" s="90"/>
      <c r="I115" s="90">
        <f>I113+I114</f>
        <v>676660.08826753928</v>
      </c>
      <c r="J115" s="90">
        <f>J113+J114</f>
        <v>2065982862.1889977</v>
      </c>
      <c r="K115" s="90">
        <f>K113+K114</f>
        <v>-197644.37429533683</v>
      </c>
      <c r="L115" s="90">
        <f>L113+L114</f>
        <v>-583424600.12274766</v>
      </c>
      <c r="M115" s="92"/>
      <c r="N115" s="4"/>
    </row>
    <row r="116" spans="1:14" x14ac:dyDescent="0.35">
      <c r="E116" s="93"/>
      <c r="I116" s="94"/>
      <c r="J116" s="4">
        <f>+J109-J108-J100-J91-J76</f>
        <v>0</v>
      </c>
    </row>
    <row r="117" spans="1:14" x14ac:dyDescent="0.35">
      <c r="E117" s="93"/>
      <c r="J117" s="4"/>
    </row>
    <row r="118" spans="1:14" x14ac:dyDescent="0.35">
      <c r="E118" s="93"/>
      <c r="I118" s="94"/>
      <c r="J118" s="4"/>
      <c r="K118" s="4"/>
    </row>
    <row r="119" spans="1:14" x14ac:dyDescent="0.35">
      <c r="E119" s="93"/>
      <c r="I119" s="4"/>
      <c r="J119" s="95"/>
    </row>
    <row r="120" spans="1:14" x14ac:dyDescent="0.35">
      <c r="E120" s="93"/>
      <c r="K120" s="64"/>
    </row>
    <row r="122" spans="1:14" x14ac:dyDescent="0.35">
      <c r="J122" s="64"/>
    </row>
    <row r="134" spans="1:1" x14ac:dyDescent="0.35">
      <c r="A134" s="64"/>
    </row>
  </sheetData>
  <mergeCells count="22">
    <mergeCell ref="K4:L4"/>
    <mergeCell ref="G5:H5"/>
    <mergeCell ref="I5:J5"/>
    <mergeCell ref="A90:B90"/>
    <mergeCell ref="A4:A6"/>
    <mergeCell ref="B4:B6"/>
    <mergeCell ref="C4:D4"/>
    <mergeCell ref="E4:J4"/>
    <mergeCell ref="A63:B63"/>
    <mergeCell ref="A71:B71"/>
    <mergeCell ref="A75:B75"/>
    <mergeCell ref="A76:B76"/>
    <mergeCell ref="A80:B80"/>
    <mergeCell ref="A108:B108"/>
    <mergeCell ref="A109:B109"/>
    <mergeCell ref="A113:B113"/>
    <mergeCell ref="A91:B91"/>
    <mergeCell ref="A95:B95"/>
    <mergeCell ref="A99:B99"/>
    <mergeCell ref="A100:B100"/>
    <mergeCell ref="A103:B103"/>
    <mergeCell ref="A107:B107"/>
  </mergeCells>
  <pageMargins left="0.31496062992125984" right="0.31496062992125984" top="0.35433070866141736" bottom="0.35433070866141736" header="0.31496062992125984" footer="0.31496062992125984"/>
  <pageSetup paperSize="9" scale="58" fitToWidth="4" fitToHeight="4" orientation="landscape" r:id="rId1"/>
  <rowBreaks count="3" manualBreakCount="3">
    <brk id="54" max="16383" man="1"/>
    <brk id="76" max="16383" man="1"/>
    <brk id="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68396-84CB-42F8-AC1D-80432184B82C}">
  <dimension ref="A3:M13"/>
  <sheetViews>
    <sheetView topLeftCell="A5" workbookViewId="0">
      <selection activeCell="A9" sqref="A9"/>
    </sheetView>
  </sheetViews>
  <sheetFormatPr defaultColWidth="10.90625" defaultRowHeight="14.5" x14ac:dyDescent="0.35"/>
  <cols>
    <col min="1" max="1" width="10.90625" style="96" customWidth="1"/>
    <col min="2" max="2" width="18.1796875" style="96" customWidth="1"/>
    <col min="3" max="5" width="15.1796875" style="96" customWidth="1"/>
    <col min="6" max="6" width="54.08984375" style="96" customWidth="1"/>
    <col min="7" max="7" width="10.90625" style="97"/>
    <col min="8" max="8" width="11.1796875" style="96" bestFit="1" customWidth="1"/>
    <col min="9" max="16384" width="10.90625" style="96"/>
  </cols>
  <sheetData>
    <row r="3" spans="1:13" x14ac:dyDescent="0.35">
      <c r="A3" s="119" t="s">
        <v>140</v>
      </c>
      <c r="B3" s="119"/>
      <c r="C3" s="119"/>
      <c r="D3" s="119"/>
      <c r="E3" s="119"/>
    </row>
    <row r="4" spans="1:13" ht="68" customHeight="1" x14ac:dyDescent="0.35">
      <c r="A4" s="98" t="s">
        <v>3</v>
      </c>
      <c r="B4" s="98" t="s">
        <v>141</v>
      </c>
      <c r="C4" s="99" t="s">
        <v>142</v>
      </c>
      <c r="D4" s="99" t="s">
        <v>143</v>
      </c>
      <c r="E4" s="99" t="s">
        <v>144</v>
      </c>
      <c r="F4" s="98" t="s">
        <v>145</v>
      </c>
      <c r="G4" s="120"/>
      <c r="H4" s="121"/>
      <c r="I4" s="121"/>
      <c r="J4" s="121"/>
      <c r="K4" s="121"/>
      <c r="L4" s="121"/>
      <c r="M4" s="121"/>
    </row>
    <row r="5" spans="1:13" ht="147" customHeight="1" x14ac:dyDescent="0.35">
      <c r="A5" s="100" t="s">
        <v>81</v>
      </c>
      <c r="B5" s="101">
        <v>201045454.54545456</v>
      </c>
      <c r="C5" s="102">
        <v>305761000</v>
      </c>
      <c r="D5" s="102">
        <v>146341500</v>
      </c>
      <c r="E5" s="103">
        <f>+C5-D5</f>
        <v>159419500</v>
      </c>
      <c r="F5" s="104" t="s">
        <v>146</v>
      </c>
    </row>
    <row r="6" spans="1:13" ht="61.5" customHeight="1" x14ac:dyDescent="0.35">
      <c r="A6" s="100" t="s">
        <v>84</v>
      </c>
      <c r="B6" s="101">
        <v>64530303.030303031</v>
      </c>
      <c r="C6" s="102">
        <f>47383000+6180224+1837026</f>
        <v>55400250</v>
      </c>
      <c r="D6" s="105">
        <f>47383000+6180224+1837026</f>
        <v>55400250</v>
      </c>
      <c r="E6" s="101">
        <f>+C6-D6</f>
        <v>0</v>
      </c>
      <c r="F6" s="104" t="s">
        <v>147</v>
      </c>
      <c r="G6" s="96"/>
    </row>
    <row r="7" spans="1:13" ht="61.5" customHeight="1" x14ac:dyDescent="0.35">
      <c r="A7" s="100" t="s">
        <v>87</v>
      </c>
      <c r="B7" s="101">
        <v>256678787.8787879</v>
      </c>
      <c r="C7" s="106">
        <f>167084303+2506961</f>
        <v>169591264</v>
      </c>
      <c r="D7" s="106">
        <f>+C7</f>
        <v>169591264</v>
      </c>
      <c r="E7" s="101">
        <f>+C7-D7</f>
        <v>0</v>
      </c>
      <c r="F7" s="104" t="s">
        <v>148</v>
      </c>
      <c r="G7" s="96"/>
    </row>
    <row r="8" spans="1:13" ht="61.5" customHeight="1" x14ac:dyDescent="0.35">
      <c r="A8" s="100" t="s">
        <v>92</v>
      </c>
      <c r="B8" s="101">
        <v>227393939.39393938</v>
      </c>
      <c r="C8" s="107">
        <v>54761020</v>
      </c>
      <c r="D8" s="101">
        <f>+C8</f>
        <v>54761020</v>
      </c>
      <c r="E8" s="101">
        <f>+C8-D8</f>
        <v>0</v>
      </c>
      <c r="F8" s="104" t="s">
        <v>149</v>
      </c>
      <c r="G8" s="96"/>
    </row>
    <row r="9" spans="1:13" ht="98.4" customHeight="1" x14ac:dyDescent="0.35">
      <c r="A9" s="108" t="s">
        <v>100</v>
      </c>
      <c r="B9" s="101">
        <v>91360606.060606062</v>
      </c>
      <c r="C9" s="107">
        <f>74806244+3094079+3598878+23413233</f>
        <v>104912434</v>
      </c>
      <c r="D9" s="101">
        <f>+C9</f>
        <v>104912434</v>
      </c>
      <c r="E9" s="101">
        <f t="shared" ref="E9:E10" si="0">+C9-D9</f>
        <v>0</v>
      </c>
      <c r="F9" s="104" t="s">
        <v>150</v>
      </c>
      <c r="G9" s="96"/>
      <c r="H9" s="109"/>
    </row>
    <row r="10" spans="1:13" ht="61.5" customHeight="1" x14ac:dyDescent="0.35">
      <c r="A10" s="100" t="s">
        <v>121</v>
      </c>
      <c r="B10" s="101">
        <v>98990909.090909094</v>
      </c>
      <c r="C10" s="110">
        <f>82677888+6614231+636133+7951666</f>
        <v>97879918</v>
      </c>
      <c r="D10" s="101">
        <f>+C10</f>
        <v>97879918</v>
      </c>
      <c r="E10" s="101">
        <f t="shared" si="0"/>
        <v>0</v>
      </c>
      <c r="F10" s="104"/>
      <c r="G10" s="96"/>
    </row>
    <row r="11" spans="1:13" ht="97.25" customHeight="1" x14ac:dyDescent="0.35">
      <c r="A11" s="100" t="s">
        <v>105</v>
      </c>
      <c r="B11" s="102">
        <v>53557575.757575758</v>
      </c>
      <c r="C11" s="110">
        <v>70379800</v>
      </c>
      <c r="D11" s="101">
        <v>69644780</v>
      </c>
      <c r="E11" s="101">
        <f>+C11-D11</f>
        <v>735020</v>
      </c>
      <c r="F11" s="104" t="s">
        <v>151</v>
      </c>
      <c r="G11" s="96"/>
    </row>
    <row r="12" spans="1:13" ht="45.5" customHeight="1" x14ac:dyDescent="0.35">
      <c r="A12" s="111" t="s">
        <v>152</v>
      </c>
      <c r="B12" s="112">
        <f>SUM(B5:B11)</f>
        <v>993557575.75757587</v>
      </c>
      <c r="C12" s="112">
        <f t="shared" ref="C12:E12" si="1">SUM(C5:C11)</f>
        <v>858685686</v>
      </c>
      <c r="D12" s="112">
        <f t="shared" si="1"/>
        <v>698531166</v>
      </c>
      <c r="E12" s="112">
        <f t="shared" si="1"/>
        <v>160154520</v>
      </c>
      <c r="G12" s="96"/>
    </row>
    <row r="13" spans="1:13" x14ac:dyDescent="0.35">
      <c r="C13" s="113"/>
      <c r="E13" s="113"/>
    </row>
  </sheetData>
  <mergeCells count="2">
    <mergeCell ref="A3:E3"/>
    <mergeCell ref="G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2024 FIPP Total</vt:lpstr>
      <vt:lpstr>ETAT DES PARTENAIRES FIPP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Christiaanse</dc:creator>
  <cp:lastModifiedBy>Hans Christiaanse</cp:lastModifiedBy>
  <cp:lastPrinted>2025-03-31T14:07:19Z</cp:lastPrinted>
  <dcterms:created xsi:type="dcterms:W3CDTF">2025-03-31T13:59:11Z</dcterms:created>
  <dcterms:modified xsi:type="dcterms:W3CDTF">2025-03-31T14:07:41Z</dcterms:modified>
</cp:coreProperties>
</file>