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7203477cb8afa3/POSTE DE TRAVAIL/DOC FINAUX RAPID/RAPPID RAPPORT FINANCIER 2025/"/>
    </mc:Choice>
  </mc:AlternateContent>
  <xr:revisionPtr revIDLastSave="1" documentId="8_{129DDFC9-2D79-4178-AD23-90C06EF19A5C}" xr6:coauthVersionLast="47" xr6:coauthVersionMax="47" xr10:uidLastSave="{8FFCF00E-03DF-4081-8E1B-068D5D23D0C2}"/>
  <bookViews>
    <workbookView xWindow="-110" yWindow="-110" windowWidth="22620" windowHeight="13500" xr2:uid="{C285AEC4-56BD-45CD-9F3A-2F1B4AEB2CD3}"/>
  </bookViews>
  <sheets>
    <sheet name="RAPPORT FINANCIER RAPPID_2025" sheetId="1" r:id="rId1"/>
    <sheet name="DEPENSES 2025 PAR RUBRIQUES" sheetId="4" r:id="rId2"/>
    <sheet name="FAS RAPPID 2025" sheetId="5" r:id="rId3"/>
  </sheets>
  <definedNames>
    <definedName name="_xlnm.Print_Area" localSheetId="0">'RAPPORT FINANCIER RAPPID_2025'!$A$1:$Z$111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D22" i="5"/>
  <c r="D20" i="5"/>
  <c r="D19" i="5"/>
  <c r="D18" i="5"/>
  <c r="D17" i="5"/>
  <c r="C22" i="5"/>
  <c r="E13" i="4"/>
  <c r="C16" i="5"/>
  <c r="C23" i="5"/>
  <c r="C20" i="5"/>
  <c r="C19" i="5"/>
  <c r="C18" i="5"/>
  <c r="C17" i="5"/>
  <c r="D8" i="5"/>
  <c r="D21" i="5"/>
  <c r="D11" i="5"/>
  <c r="C10" i="5"/>
  <c r="C14" i="5" s="1"/>
  <c r="D16" i="5" l="1"/>
  <c r="D14" i="5"/>
  <c r="D10" i="5"/>
  <c r="C24" i="5" l="1"/>
  <c r="D24" i="5" s="1"/>
  <c r="J123" i="1" l="1"/>
  <c r="I123" i="1"/>
  <c r="I121" i="1"/>
  <c r="I122" i="1"/>
  <c r="X116" i="1"/>
  <c r="K128" i="1"/>
  <c r="J127" i="1"/>
  <c r="S60" i="1"/>
  <c r="S85" i="1"/>
  <c r="S79" i="1"/>
  <c r="S96" i="1"/>
  <c r="S82" i="1"/>
  <c r="C15" i="4" l="1"/>
  <c r="C13" i="4"/>
  <c r="E12" i="4"/>
  <c r="C12" i="4"/>
  <c r="E10" i="4"/>
  <c r="C10" i="4"/>
  <c r="C9" i="4"/>
  <c r="I124" i="1" l="1"/>
  <c r="I125" i="1"/>
  <c r="I126" i="1"/>
  <c r="T69" i="1" l="1"/>
  <c r="W24" i="1"/>
  <c r="S44" i="1"/>
  <c r="S26" i="1"/>
  <c r="E9" i="4" s="1"/>
  <c r="G9" i="4" l="1"/>
  <c r="T96" i="1"/>
  <c r="S61" i="1"/>
  <c r="E14" i="4" s="1"/>
  <c r="F14" i="4" s="1"/>
  <c r="S72" i="1"/>
  <c r="E15" i="4" s="1"/>
  <c r="U48" i="1"/>
  <c r="U49" i="1"/>
  <c r="U50" i="1"/>
  <c r="V50" i="1" s="1"/>
  <c r="U51" i="1"/>
  <c r="V51" i="1" s="1"/>
  <c r="U52" i="1"/>
  <c r="U53" i="1"/>
  <c r="V53" i="1" s="1"/>
  <c r="U54" i="1"/>
  <c r="U56" i="1"/>
  <c r="U57" i="1"/>
  <c r="V57" i="1" s="1"/>
  <c r="U58" i="1"/>
  <c r="U59" i="1"/>
  <c r="V59" i="1" s="1"/>
  <c r="U60" i="1"/>
  <c r="V60" i="1" s="1"/>
  <c r="U69" i="1"/>
  <c r="V69" i="1" s="1"/>
  <c r="U83" i="1"/>
  <c r="V83" i="1" s="1"/>
  <c r="U84" i="1"/>
  <c r="V84" i="1" s="1"/>
  <c r="U85" i="1"/>
  <c r="V85" i="1" s="1"/>
  <c r="U74" i="1"/>
  <c r="U75" i="1"/>
  <c r="V75" i="1" s="1"/>
  <c r="U76" i="1"/>
  <c r="V76" i="1" s="1"/>
  <c r="U77" i="1"/>
  <c r="U78" i="1"/>
  <c r="V78" i="1" s="1"/>
  <c r="U79" i="1"/>
  <c r="V79" i="1" s="1"/>
  <c r="U80" i="1"/>
  <c r="V80" i="1" s="1"/>
  <c r="U81" i="1"/>
  <c r="S86" i="1"/>
  <c r="E16" i="4" s="1"/>
  <c r="F16" i="4" s="1"/>
  <c r="Q26" i="1"/>
  <c r="W26" i="1" s="1"/>
  <c r="S45" i="1"/>
  <c r="W97" i="1"/>
  <c r="W95" i="1"/>
  <c r="W94" i="1"/>
  <c r="W93" i="1"/>
  <c r="W92" i="1"/>
  <c r="W91" i="1"/>
  <c r="W90" i="1"/>
  <c r="W89" i="1"/>
  <c r="W88" i="1"/>
  <c r="W85" i="1"/>
  <c r="W84" i="1"/>
  <c r="W83" i="1"/>
  <c r="W82" i="1"/>
  <c r="W81" i="1"/>
  <c r="W80" i="1"/>
  <c r="W78" i="1"/>
  <c r="W77" i="1"/>
  <c r="W76" i="1"/>
  <c r="W75" i="1"/>
  <c r="W74" i="1"/>
  <c r="W71" i="1"/>
  <c r="W70" i="1"/>
  <c r="W69" i="1"/>
  <c r="W68" i="1"/>
  <c r="W67" i="1"/>
  <c r="W66" i="1"/>
  <c r="W65" i="1"/>
  <c r="W64" i="1"/>
  <c r="W63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3" i="1"/>
  <c r="W42" i="1"/>
  <c r="W41" i="1"/>
  <c r="W40" i="1"/>
  <c r="W39" i="1"/>
  <c r="W38" i="1"/>
  <c r="W37" i="1"/>
  <c r="W30" i="1"/>
  <c r="W29" i="1"/>
  <c r="W16" i="1"/>
  <c r="W17" i="1"/>
  <c r="W18" i="1"/>
  <c r="W19" i="1"/>
  <c r="W20" i="1"/>
  <c r="W21" i="1"/>
  <c r="W22" i="1"/>
  <c r="W23" i="1"/>
  <c r="W25" i="1"/>
  <c r="W15" i="1"/>
  <c r="U97" i="1"/>
  <c r="V97" i="1" s="1"/>
  <c r="U95" i="1"/>
  <c r="V95" i="1" s="1"/>
  <c r="U89" i="1"/>
  <c r="V89" i="1" s="1"/>
  <c r="U88" i="1"/>
  <c r="V88" i="1" s="1"/>
  <c r="U82" i="1"/>
  <c r="U70" i="1"/>
  <c r="U68" i="1"/>
  <c r="V68" i="1" s="1"/>
  <c r="U55" i="1"/>
  <c r="V55" i="1" s="1"/>
  <c r="U43" i="1"/>
  <c r="V43" i="1" s="1"/>
  <c r="U42" i="1"/>
  <c r="V42" i="1" s="1"/>
  <c r="U41" i="1"/>
  <c r="V41" i="1" s="1"/>
  <c r="U40" i="1"/>
  <c r="U39" i="1"/>
  <c r="V39" i="1" s="1"/>
  <c r="U38" i="1"/>
  <c r="V38" i="1" s="1"/>
  <c r="U37" i="1"/>
  <c r="V37" i="1" s="1"/>
  <c r="U30" i="1"/>
  <c r="U29" i="1"/>
  <c r="V29" i="1" s="1"/>
  <c r="U16" i="1"/>
  <c r="V16" i="1" s="1"/>
  <c r="U17" i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15" i="1"/>
  <c r="V15" i="1" s="1"/>
  <c r="W35" i="1"/>
  <c r="V94" i="1"/>
  <c r="V93" i="1"/>
  <c r="V92" i="1"/>
  <c r="V91" i="1"/>
  <c r="V90" i="1"/>
  <c r="V81" i="1"/>
  <c r="V77" i="1"/>
  <c r="V74" i="1"/>
  <c r="V71" i="1"/>
  <c r="V67" i="1"/>
  <c r="V66" i="1"/>
  <c r="V65" i="1"/>
  <c r="V64" i="1"/>
  <c r="V63" i="1"/>
  <c r="V58" i="1"/>
  <c r="V56" i="1"/>
  <c r="V54" i="1"/>
  <c r="V52" i="1"/>
  <c r="V49" i="1"/>
  <c r="V48" i="1"/>
  <c r="V47" i="1"/>
  <c r="U35" i="1"/>
  <c r="V34" i="1"/>
  <c r="V33" i="1"/>
  <c r="V28" i="1"/>
  <c r="V17" i="1"/>
  <c r="I26" i="1"/>
  <c r="I31" i="1"/>
  <c r="I35" i="1"/>
  <c r="I44" i="1"/>
  <c r="I61" i="1"/>
  <c r="I67" i="1"/>
  <c r="I72" i="1" s="1"/>
  <c r="I86" i="1"/>
  <c r="I89" i="1"/>
  <c r="I98" i="1" s="1"/>
  <c r="K26" i="1"/>
  <c r="K31" i="1"/>
  <c r="K35" i="1"/>
  <c r="K44" i="1"/>
  <c r="K61" i="1"/>
  <c r="K72" i="1"/>
  <c r="K86" i="1"/>
  <c r="K98" i="1"/>
  <c r="M26" i="1"/>
  <c r="M31" i="1"/>
  <c r="M35" i="1"/>
  <c r="M44" i="1"/>
  <c r="M60" i="1"/>
  <c r="N60" i="1" s="1"/>
  <c r="M68" i="1"/>
  <c r="N68" i="1" s="1"/>
  <c r="M71" i="1"/>
  <c r="M82" i="1"/>
  <c r="M86" i="1" s="1"/>
  <c r="M88" i="1"/>
  <c r="N88" i="1" s="1"/>
  <c r="M90" i="1"/>
  <c r="X97" i="1"/>
  <c r="Y97" i="1" s="1"/>
  <c r="X95" i="1"/>
  <c r="Y95" i="1" s="1"/>
  <c r="O94" i="1"/>
  <c r="X94" i="1" s="1"/>
  <c r="Y94" i="1" s="1"/>
  <c r="O93" i="1"/>
  <c r="X93" i="1" s="1"/>
  <c r="Y93" i="1" s="1"/>
  <c r="O92" i="1"/>
  <c r="X92" i="1" s="1"/>
  <c r="Y92" i="1" s="1"/>
  <c r="O91" i="1"/>
  <c r="X91" i="1" s="1"/>
  <c r="Y91" i="1" s="1"/>
  <c r="X85" i="1"/>
  <c r="Y85" i="1" s="1"/>
  <c r="X84" i="1"/>
  <c r="Y84" i="1" s="1"/>
  <c r="X83" i="1"/>
  <c r="Y83" i="1" s="1"/>
  <c r="O81" i="1"/>
  <c r="O80" i="1"/>
  <c r="X80" i="1" s="1"/>
  <c r="Y80" i="1" s="1"/>
  <c r="O79" i="1"/>
  <c r="X79" i="1" s="1"/>
  <c r="Y79" i="1" s="1"/>
  <c r="O78" i="1"/>
  <c r="X78" i="1" s="1"/>
  <c r="Y78" i="1" s="1"/>
  <c r="O77" i="1"/>
  <c r="O76" i="1"/>
  <c r="O75" i="1"/>
  <c r="X75" i="1" s="1"/>
  <c r="Y75" i="1" s="1"/>
  <c r="O74" i="1"/>
  <c r="P74" i="1" s="1"/>
  <c r="O70" i="1"/>
  <c r="O69" i="1"/>
  <c r="X69" i="1" s="1"/>
  <c r="Y69" i="1" s="1"/>
  <c r="O66" i="1"/>
  <c r="O65" i="1"/>
  <c r="X65" i="1" s="1"/>
  <c r="Y65" i="1" s="1"/>
  <c r="O64" i="1"/>
  <c r="P64" i="1" s="1"/>
  <c r="O63" i="1"/>
  <c r="O48" i="1"/>
  <c r="O49" i="1"/>
  <c r="X49" i="1" s="1"/>
  <c r="Y49" i="1" s="1"/>
  <c r="O50" i="1"/>
  <c r="X50" i="1" s="1"/>
  <c r="Y50" i="1" s="1"/>
  <c r="O51" i="1"/>
  <c r="O52" i="1"/>
  <c r="P52" i="1" s="1"/>
  <c r="O53" i="1"/>
  <c r="X53" i="1" s="1"/>
  <c r="Y53" i="1" s="1"/>
  <c r="O54" i="1"/>
  <c r="X54" i="1" s="1"/>
  <c r="Y54" i="1" s="1"/>
  <c r="O55" i="1"/>
  <c r="O56" i="1"/>
  <c r="O57" i="1"/>
  <c r="X57" i="1" s="1"/>
  <c r="Y57" i="1" s="1"/>
  <c r="O58" i="1"/>
  <c r="X58" i="1" s="1"/>
  <c r="Y58" i="1" s="1"/>
  <c r="O59" i="1"/>
  <c r="O47" i="1"/>
  <c r="P47" i="1" s="1"/>
  <c r="O38" i="1"/>
  <c r="P38" i="1" s="1"/>
  <c r="O39" i="1"/>
  <c r="O40" i="1"/>
  <c r="O41" i="1"/>
  <c r="X41" i="1" s="1"/>
  <c r="Y41" i="1" s="1"/>
  <c r="O42" i="1"/>
  <c r="X42" i="1" s="1"/>
  <c r="Y42" i="1" s="1"/>
  <c r="O43" i="1"/>
  <c r="X43" i="1" s="1"/>
  <c r="Y43" i="1" s="1"/>
  <c r="O37" i="1"/>
  <c r="P37" i="1" s="1"/>
  <c r="O34" i="1"/>
  <c r="X34" i="1" s="1"/>
  <c r="Y34" i="1" s="1"/>
  <c r="O33" i="1"/>
  <c r="O29" i="1"/>
  <c r="O30" i="1"/>
  <c r="O28" i="1"/>
  <c r="P28" i="1" s="1"/>
  <c r="O16" i="1"/>
  <c r="X16" i="1" s="1"/>
  <c r="Y16" i="1" s="1"/>
  <c r="O17" i="1"/>
  <c r="O18" i="1"/>
  <c r="X18" i="1" s="1"/>
  <c r="Y18" i="1" s="1"/>
  <c r="O19" i="1"/>
  <c r="P19" i="1" s="1"/>
  <c r="O20" i="1"/>
  <c r="P20" i="1" s="1"/>
  <c r="O21" i="1"/>
  <c r="O22" i="1"/>
  <c r="O23" i="1"/>
  <c r="X23" i="1" s="1"/>
  <c r="Y23" i="1" s="1"/>
  <c r="O24" i="1"/>
  <c r="X24" i="1" s="1"/>
  <c r="Y24" i="1" s="1"/>
  <c r="O25" i="1"/>
  <c r="O15" i="1"/>
  <c r="T97" i="1"/>
  <c r="T95" i="1"/>
  <c r="T94" i="1"/>
  <c r="T93" i="1"/>
  <c r="T92" i="1"/>
  <c r="T91" i="1"/>
  <c r="T90" i="1"/>
  <c r="T89" i="1"/>
  <c r="T88" i="1"/>
  <c r="T85" i="1"/>
  <c r="T84" i="1"/>
  <c r="T83" i="1"/>
  <c r="T82" i="1"/>
  <c r="T81" i="1"/>
  <c r="T80" i="1"/>
  <c r="T79" i="1"/>
  <c r="T78" i="1"/>
  <c r="T77" i="1"/>
  <c r="T76" i="1"/>
  <c r="T75" i="1"/>
  <c r="T74" i="1"/>
  <c r="T71" i="1"/>
  <c r="T70" i="1"/>
  <c r="T68" i="1"/>
  <c r="T67" i="1"/>
  <c r="T66" i="1"/>
  <c r="T65" i="1"/>
  <c r="T64" i="1"/>
  <c r="T63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3" i="1"/>
  <c r="T42" i="1"/>
  <c r="T41" i="1"/>
  <c r="T40" i="1"/>
  <c r="T39" i="1"/>
  <c r="T38" i="1"/>
  <c r="T37" i="1"/>
  <c r="T34" i="1"/>
  <c r="T33" i="1"/>
  <c r="T30" i="1"/>
  <c r="T29" i="1"/>
  <c r="T28" i="1"/>
  <c r="T16" i="1"/>
  <c r="T17" i="1"/>
  <c r="T18" i="1"/>
  <c r="T19" i="1"/>
  <c r="T20" i="1"/>
  <c r="T21" i="1"/>
  <c r="T22" i="1"/>
  <c r="T23" i="1"/>
  <c r="T24" i="1"/>
  <c r="T25" i="1"/>
  <c r="T15" i="1"/>
  <c r="Q98" i="1"/>
  <c r="C17" i="4" s="1"/>
  <c r="Q61" i="1"/>
  <c r="C14" i="4" s="1"/>
  <c r="Q72" i="1"/>
  <c r="Q86" i="1"/>
  <c r="C16" i="4" s="1"/>
  <c r="Q31" i="1"/>
  <c r="Q35" i="1"/>
  <c r="Q44" i="1"/>
  <c r="W44" i="1" s="1"/>
  <c r="R95" i="1"/>
  <c r="R88" i="1"/>
  <c r="R89" i="1"/>
  <c r="R90" i="1"/>
  <c r="R91" i="1"/>
  <c r="R92" i="1"/>
  <c r="R93" i="1"/>
  <c r="R94" i="1"/>
  <c r="R96" i="1"/>
  <c r="R97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3" i="1"/>
  <c r="R64" i="1"/>
  <c r="R65" i="1"/>
  <c r="R66" i="1"/>
  <c r="R67" i="1"/>
  <c r="R68" i="1"/>
  <c r="R69" i="1"/>
  <c r="R70" i="1"/>
  <c r="R71" i="1"/>
  <c r="R74" i="1"/>
  <c r="R75" i="1"/>
  <c r="R76" i="1"/>
  <c r="R77" i="1"/>
  <c r="R78" i="1"/>
  <c r="R79" i="1"/>
  <c r="R80" i="1"/>
  <c r="R81" i="1"/>
  <c r="R82" i="1"/>
  <c r="R83" i="1"/>
  <c r="R84" i="1"/>
  <c r="R85" i="1"/>
  <c r="R15" i="1"/>
  <c r="R16" i="1"/>
  <c r="R17" i="1"/>
  <c r="R18" i="1"/>
  <c r="R19" i="1"/>
  <c r="R20" i="1"/>
  <c r="R21" i="1"/>
  <c r="R22" i="1"/>
  <c r="R23" i="1"/>
  <c r="R24" i="1"/>
  <c r="R25" i="1"/>
  <c r="R29" i="1"/>
  <c r="R30" i="1"/>
  <c r="R33" i="1"/>
  <c r="R34" i="1"/>
  <c r="R37" i="1"/>
  <c r="R38" i="1"/>
  <c r="R39" i="1"/>
  <c r="R40" i="1"/>
  <c r="R41" i="1"/>
  <c r="R42" i="1"/>
  <c r="R43" i="1"/>
  <c r="S31" i="1"/>
  <c r="S35" i="1"/>
  <c r="P63" i="1"/>
  <c r="P91" i="1"/>
  <c r="L28" i="1"/>
  <c r="L29" i="1"/>
  <c r="L30" i="1"/>
  <c r="J28" i="1"/>
  <c r="J29" i="1"/>
  <c r="J30" i="1"/>
  <c r="N28" i="1"/>
  <c r="H25" i="4"/>
  <c r="F25" i="4"/>
  <c r="D25" i="4"/>
  <c r="H24" i="4"/>
  <c r="F24" i="4"/>
  <c r="D24" i="4"/>
  <c r="H20" i="4"/>
  <c r="F20" i="4"/>
  <c r="D20" i="4"/>
  <c r="I15" i="4"/>
  <c r="G15" i="4"/>
  <c r="H15" i="4" s="1"/>
  <c r="F15" i="4"/>
  <c r="D15" i="4"/>
  <c r="I12" i="4"/>
  <c r="G12" i="4"/>
  <c r="H12" i="4" s="1"/>
  <c r="F12" i="4"/>
  <c r="D12" i="4"/>
  <c r="G11" i="4"/>
  <c r="H11" i="4"/>
  <c r="F11" i="4"/>
  <c r="D11" i="4"/>
  <c r="I10" i="4"/>
  <c r="G10" i="4"/>
  <c r="H10" i="4" s="1"/>
  <c r="F10" i="4"/>
  <c r="D10" i="4"/>
  <c r="I9" i="4"/>
  <c r="H9" i="4"/>
  <c r="F9" i="4"/>
  <c r="D9" i="4"/>
  <c r="N53" i="1"/>
  <c r="J15" i="1"/>
  <c r="L94" i="1"/>
  <c r="L93" i="1"/>
  <c r="L92" i="1"/>
  <c r="L91" i="1"/>
  <c r="L90" i="1"/>
  <c r="L89" i="1"/>
  <c r="L88" i="1"/>
  <c r="L82" i="1"/>
  <c r="L81" i="1"/>
  <c r="L80" i="1"/>
  <c r="L79" i="1"/>
  <c r="L78" i="1"/>
  <c r="L77" i="1"/>
  <c r="L76" i="1"/>
  <c r="L75" i="1"/>
  <c r="L74" i="1"/>
  <c r="L71" i="1"/>
  <c r="L70" i="1"/>
  <c r="L69" i="1"/>
  <c r="L68" i="1"/>
  <c r="L67" i="1"/>
  <c r="L66" i="1"/>
  <c r="L65" i="1"/>
  <c r="L64" i="1"/>
  <c r="L63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47" i="1"/>
  <c r="J94" i="1"/>
  <c r="J93" i="1"/>
  <c r="J92" i="1"/>
  <c r="J91" i="1"/>
  <c r="J90" i="1"/>
  <c r="J88" i="1"/>
  <c r="J82" i="1"/>
  <c r="J81" i="1"/>
  <c r="J80" i="1"/>
  <c r="J79" i="1"/>
  <c r="J78" i="1"/>
  <c r="J77" i="1"/>
  <c r="J76" i="1"/>
  <c r="J75" i="1"/>
  <c r="J74" i="1"/>
  <c r="J71" i="1"/>
  <c r="J70" i="1"/>
  <c r="J69" i="1"/>
  <c r="J68" i="1"/>
  <c r="J66" i="1"/>
  <c r="J65" i="1"/>
  <c r="J64" i="1"/>
  <c r="J63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7" i="1"/>
  <c r="J67" i="1"/>
  <c r="N101" i="1"/>
  <c r="N94" i="1"/>
  <c r="N93" i="1"/>
  <c r="N92" i="1"/>
  <c r="N91" i="1"/>
  <c r="N89" i="1"/>
  <c r="N81" i="1"/>
  <c r="N80" i="1"/>
  <c r="N79" i="1"/>
  <c r="N78" i="1"/>
  <c r="N77" i="1"/>
  <c r="N76" i="1"/>
  <c r="N75" i="1"/>
  <c r="N74" i="1"/>
  <c r="N70" i="1"/>
  <c r="N69" i="1"/>
  <c r="N67" i="1"/>
  <c r="N66" i="1"/>
  <c r="N65" i="1"/>
  <c r="N64" i="1"/>
  <c r="N63" i="1"/>
  <c r="N48" i="1"/>
  <c r="N49" i="1"/>
  <c r="N50" i="1"/>
  <c r="N51" i="1"/>
  <c r="N52" i="1"/>
  <c r="N54" i="1"/>
  <c r="N55" i="1"/>
  <c r="N56" i="1"/>
  <c r="N57" i="1"/>
  <c r="N58" i="1"/>
  <c r="N59" i="1"/>
  <c r="N47" i="1"/>
  <c r="G88" i="1"/>
  <c r="G76" i="1"/>
  <c r="E63" i="1"/>
  <c r="F63" i="1" s="1"/>
  <c r="G63" i="1" s="1"/>
  <c r="G103" i="1"/>
  <c r="H98" i="1"/>
  <c r="H86" i="1"/>
  <c r="E94" i="1"/>
  <c r="F94" i="1" s="1"/>
  <c r="G94" i="1"/>
  <c r="G93" i="1"/>
  <c r="G92" i="1"/>
  <c r="G91" i="1"/>
  <c r="G90" i="1"/>
  <c r="G89" i="1"/>
  <c r="G82" i="1"/>
  <c r="G81" i="1"/>
  <c r="G80" i="1"/>
  <c r="G79" i="1"/>
  <c r="G78" i="1"/>
  <c r="G77" i="1"/>
  <c r="G75" i="1"/>
  <c r="G74" i="1"/>
  <c r="G71" i="1"/>
  <c r="G70" i="1"/>
  <c r="G69" i="1"/>
  <c r="G68" i="1"/>
  <c r="G67" i="1"/>
  <c r="G66" i="1"/>
  <c r="G65" i="1"/>
  <c r="G64" i="1"/>
  <c r="G48" i="1"/>
  <c r="G49" i="1"/>
  <c r="G50" i="1"/>
  <c r="G51" i="1"/>
  <c r="G52" i="1"/>
  <c r="G53" i="1"/>
  <c r="G54" i="1"/>
  <c r="G55" i="1"/>
  <c r="G56" i="1"/>
  <c r="G58" i="1"/>
  <c r="G47" i="1"/>
  <c r="F106" i="1"/>
  <c r="F105" i="1"/>
  <c r="F103" i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0" i="1"/>
  <c r="F70" i="1" s="1"/>
  <c r="C69" i="1"/>
  <c r="E69" i="1" s="1"/>
  <c r="F69" i="1" s="1"/>
  <c r="E68" i="1"/>
  <c r="F68" i="1" s="1"/>
  <c r="E67" i="1"/>
  <c r="F67" i="1" s="1"/>
  <c r="E66" i="1"/>
  <c r="F66" i="1" s="1"/>
  <c r="E65" i="1"/>
  <c r="F65" i="1" s="1"/>
  <c r="E64" i="1"/>
  <c r="E60" i="1"/>
  <c r="F60" i="1" s="1"/>
  <c r="E59" i="1"/>
  <c r="F59" i="1" s="1"/>
  <c r="G59" i="1" s="1"/>
  <c r="D58" i="1"/>
  <c r="E58" i="1" s="1"/>
  <c r="F58" i="1" s="1"/>
  <c r="E57" i="1"/>
  <c r="F57" i="1" s="1"/>
  <c r="G57" i="1" s="1"/>
  <c r="E56" i="1"/>
  <c r="F56" i="1" s="1"/>
  <c r="E55" i="1"/>
  <c r="E7" i="1" s="1"/>
  <c r="E54" i="1"/>
  <c r="F54" i="1" s="1"/>
  <c r="C53" i="1"/>
  <c r="E53" i="1" s="1"/>
  <c r="F53" i="1" s="1"/>
  <c r="C52" i="1"/>
  <c r="E52" i="1" s="1"/>
  <c r="F52" i="1" s="1"/>
  <c r="E51" i="1"/>
  <c r="F51" i="1" s="1"/>
  <c r="F5" i="1" s="1"/>
  <c r="E50" i="1"/>
  <c r="F50" i="1" s="1"/>
  <c r="E49" i="1"/>
  <c r="F49" i="1" s="1"/>
  <c r="E48" i="1"/>
  <c r="F48" i="1" s="1"/>
  <c r="E47" i="1"/>
  <c r="F47" i="1" s="1"/>
  <c r="G17" i="1"/>
  <c r="N43" i="1"/>
  <c r="L43" i="1"/>
  <c r="J43" i="1"/>
  <c r="E43" i="1"/>
  <c r="F43" i="1" s="1"/>
  <c r="G43" i="1"/>
  <c r="N42" i="1"/>
  <c r="L42" i="1"/>
  <c r="J42" i="1"/>
  <c r="E42" i="1"/>
  <c r="F42" i="1" s="1"/>
  <c r="N41" i="1"/>
  <c r="L41" i="1"/>
  <c r="J41" i="1"/>
  <c r="E41" i="1"/>
  <c r="G41" i="1"/>
  <c r="N40" i="1"/>
  <c r="L40" i="1"/>
  <c r="J40" i="1"/>
  <c r="E40" i="1"/>
  <c r="F40" i="1" s="1"/>
  <c r="G40" i="1"/>
  <c r="N39" i="1"/>
  <c r="L39" i="1"/>
  <c r="J39" i="1"/>
  <c r="E39" i="1"/>
  <c r="F39" i="1" s="1"/>
  <c r="G39" i="1"/>
  <c r="N38" i="1"/>
  <c r="L38" i="1"/>
  <c r="J38" i="1"/>
  <c r="E38" i="1"/>
  <c r="F38" i="1" s="1"/>
  <c r="G38" i="1"/>
  <c r="N37" i="1"/>
  <c r="L37" i="1"/>
  <c r="J37" i="1"/>
  <c r="E37" i="1"/>
  <c r="F37" i="1" s="1"/>
  <c r="L35" i="1"/>
  <c r="N34" i="1"/>
  <c r="J34" i="1"/>
  <c r="H34" i="1"/>
  <c r="H35" i="1" s="1"/>
  <c r="E34" i="1"/>
  <c r="F34" i="1" s="1"/>
  <c r="N33" i="1"/>
  <c r="J33" i="1"/>
  <c r="E33" i="1"/>
  <c r="F32" i="1"/>
  <c r="N30" i="1"/>
  <c r="E30" i="1"/>
  <c r="H30" i="1" s="1"/>
  <c r="G30" i="1" s="1"/>
  <c r="N29" i="1"/>
  <c r="E29" i="1"/>
  <c r="F29" i="1" s="1"/>
  <c r="E28" i="1"/>
  <c r="H28" i="1" s="1"/>
  <c r="L25" i="1"/>
  <c r="J25" i="1"/>
  <c r="D25" i="1"/>
  <c r="C25" i="1"/>
  <c r="L24" i="1"/>
  <c r="J24" i="1"/>
  <c r="D24" i="1"/>
  <c r="C24" i="1"/>
  <c r="L23" i="1"/>
  <c r="J23" i="1"/>
  <c r="D23" i="1"/>
  <c r="C23" i="1"/>
  <c r="N22" i="1"/>
  <c r="L22" i="1"/>
  <c r="J22" i="1"/>
  <c r="E22" i="1"/>
  <c r="F22" i="1" s="1"/>
  <c r="N21" i="1"/>
  <c r="L21" i="1"/>
  <c r="J21" i="1"/>
  <c r="E21" i="1"/>
  <c r="H21" i="1" s="1"/>
  <c r="G21" i="1" s="1"/>
  <c r="N20" i="1"/>
  <c r="L20" i="1"/>
  <c r="J20" i="1"/>
  <c r="D20" i="1"/>
  <c r="E20" i="1" s="1"/>
  <c r="H20" i="1" s="1"/>
  <c r="G20" i="1" s="1"/>
  <c r="N19" i="1"/>
  <c r="L19" i="1"/>
  <c r="J19" i="1"/>
  <c r="E19" i="1"/>
  <c r="H19" i="1" s="1"/>
  <c r="G19" i="1" s="1"/>
  <c r="N18" i="1"/>
  <c r="L18" i="1"/>
  <c r="J18" i="1"/>
  <c r="E18" i="1"/>
  <c r="F18" i="1" s="1"/>
  <c r="N17" i="1"/>
  <c r="L17" i="1"/>
  <c r="J17" i="1"/>
  <c r="E17" i="1"/>
  <c r="F17" i="1" s="1"/>
  <c r="N16" i="1"/>
  <c r="L16" i="1"/>
  <c r="J16" i="1"/>
  <c r="D16" i="1"/>
  <c r="E16" i="1" s="1"/>
  <c r="N15" i="1"/>
  <c r="L15" i="1"/>
  <c r="D15" i="1"/>
  <c r="E15" i="1" s="1"/>
  <c r="H15" i="1" s="1"/>
  <c r="E4" i="1"/>
  <c r="F4" i="1" s="1"/>
  <c r="G22" i="1"/>
  <c r="F41" i="1"/>
  <c r="G18" i="1"/>
  <c r="G37" i="1"/>
  <c r="G33" i="1"/>
  <c r="G42" i="1"/>
  <c r="F33" i="1"/>
  <c r="H44" i="1"/>
  <c r="I14" i="4" l="1"/>
  <c r="G16" i="4"/>
  <c r="H16" i="4" s="1"/>
  <c r="I13" i="4"/>
  <c r="D17" i="4"/>
  <c r="I16" i="4"/>
  <c r="D16" i="4"/>
  <c r="C18" i="4"/>
  <c r="D18" i="4" s="1"/>
  <c r="G14" i="4"/>
  <c r="D14" i="4"/>
  <c r="D13" i="4"/>
  <c r="F13" i="4"/>
  <c r="G13" i="4"/>
  <c r="W31" i="1"/>
  <c r="W86" i="1"/>
  <c r="W72" i="1"/>
  <c r="W61" i="1"/>
  <c r="T26" i="1"/>
  <c r="X96" i="1"/>
  <c r="Y96" i="1" s="1"/>
  <c r="S98" i="1"/>
  <c r="E17" i="4" s="1"/>
  <c r="F17" i="4" s="1"/>
  <c r="U96" i="1"/>
  <c r="V96" i="1" s="1"/>
  <c r="V98" i="1" s="1"/>
  <c r="W96" i="1"/>
  <c r="U86" i="1"/>
  <c r="W79" i="1"/>
  <c r="P78" i="1"/>
  <c r="U31" i="1"/>
  <c r="U44" i="1"/>
  <c r="U72" i="1"/>
  <c r="P93" i="1"/>
  <c r="V30" i="1"/>
  <c r="O35" i="1"/>
  <c r="O88" i="1"/>
  <c r="O60" i="1"/>
  <c r="O61" i="1" s="1"/>
  <c r="E5" i="1"/>
  <c r="H5" i="1" s="1"/>
  <c r="O68" i="1"/>
  <c r="X68" i="1" s="1"/>
  <c r="Y68" i="1" s="1"/>
  <c r="V70" i="1"/>
  <c r="V72" i="1" s="1"/>
  <c r="F20" i="1"/>
  <c r="E35" i="1"/>
  <c r="F35" i="1" s="1"/>
  <c r="H7" i="1"/>
  <c r="M72" i="1"/>
  <c r="N31" i="1"/>
  <c r="V35" i="1"/>
  <c r="V82" i="1"/>
  <c r="V86" i="1" s="1"/>
  <c r="U61" i="1"/>
  <c r="V61" i="1"/>
  <c r="V40" i="1"/>
  <c r="V44" i="1" s="1"/>
  <c r="V31" i="1"/>
  <c r="U26" i="1"/>
  <c r="U45" i="1" s="1"/>
  <c r="V26" i="1"/>
  <c r="V45" i="1" s="1"/>
  <c r="P58" i="1"/>
  <c r="N26" i="1"/>
  <c r="J44" i="1"/>
  <c r="J61" i="1"/>
  <c r="P92" i="1"/>
  <c r="P50" i="1"/>
  <c r="E24" i="1"/>
  <c r="F24" i="1" s="1"/>
  <c r="N35" i="1"/>
  <c r="N44" i="1"/>
  <c r="P24" i="1"/>
  <c r="E31" i="1"/>
  <c r="F31" i="1" s="1"/>
  <c r="P16" i="1"/>
  <c r="P69" i="1"/>
  <c r="P80" i="1"/>
  <c r="E23" i="1"/>
  <c r="H23" i="1" s="1"/>
  <c r="G23" i="1" s="1"/>
  <c r="E25" i="1"/>
  <c r="H25" i="1" s="1"/>
  <c r="G25" i="1" s="1"/>
  <c r="O67" i="1"/>
  <c r="P67" i="1" s="1"/>
  <c r="R98" i="1"/>
  <c r="P54" i="1"/>
  <c r="R31" i="1"/>
  <c r="T35" i="1"/>
  <c r="T86" i="1"/>
  <c r="J31" i="1"/>
  <c r="P53" i="1"/>
  <c r="J72" i="1"/>
  <c r="L61" i="1"/>
  <c r="L72" i="1"/>
  <c r="L98" i="1"/>
  <c r="P34" i="1"/>
  <c r="N71" i="1"/>
  <c r="N72" i="1" s="1"/>
  <c r="L31" i="1"/>
  <c r="P65" i="1"/>
  <c r="O26" i="1"/>
  <c r="N82" i="1"/>
  <c r="N86" i="1" s="1"/>
  <c r="P94" i="1"/>
  <c r="O82" i="1"/>
  <c r="P82" i="1" s="1"/>
  <c r="I45" i="1"/>
  <c r="H24" i="1"/>
  <c r="G24" i="1" s="1"/>
  <c r="H57" i="1"/>
  <c r="F16" i="1"/>
  <c r="H16" i="1"/>
  <c r="G16" i="1" s="1"/>
  <c r="L26" i="1"/>
  <c r="J26" i="1"/>
  <c r="G44" i="1"/>
  <c r="L44" i="1"/>
  <c r="E44" i="1"/>
  <c r="F44" i="1" s="1"/>
  <c r="J89" i="1"/>
  <c r="J98" i="1" s="1"/>
  <c r="P79" i="1"/>
  <c r="P18" i="1"/>
  <c r="O71" i="1"/>
  <c r="J35" i="1"/>
  <c r="R44" i="1"/>
  <c r="F28" i="1"/>
  <c r="R35" i="1"/>
  <c r="Q45" i="1"/>
  <c r="W45" i="1" s="1"/>
  <c r="M45" i="1"/>
  <c r="F30" i="1"/>
  <c r="N61" i="1"/>
  <c r="P41" i="1"/>
  <c r="R61" i="1"/>
  <c r="F19" i="1"/>
  <c r="Q99" i="1"/>
  <c r="T44" i="1"/>
  <c r="T61" i="1"/>
  <c r="T72" i="1"/>
  <c r="K45" i="1"/>
  <c r="F55" i="1"/>
  <c r="F7" i="1" s="1"/>
  <c r="K99" i="1"/>
  <c r="G15" i="1"/>
  <c r="G28" i="1"/>
  <c r="J4" i="1"/>
  <c r="I99" i="1"/>
  <c r="I100" i="1" s="1"/>
  <c r="I102" i="1" s="1"/>
  <c r="J5" i="1"/>
  <c r="G34" i="1"/>
  <c r="L86" i="1"/>
  <c r="X15" i="1"/>
  <c r="P15" i="1"/>
  <c r="X37" i="1"/>
  <c r="O44" i="1"/>
  <c r="X52" i="1"/>
  <c r="Y52" i="1" s="1"/>
  <c r="X66" i="1"/>
  <c r="Y66" i="1" s="1"/>
  <c r="P66" i="1"/>
  <c r="X76" i="1"/>
  <c r="Y76" i="1" s="1"/>
  <c r="P76" i="1"/>
  <c r="M61" i="1"/>
  <c r="X25" i="1"/>
  <c r="Y25" i="1" s="1"/>
  <c r="P25" i="1"/>
  <c r="X17" i="1"/>
  <c r="Y17" i="1" s="1"/>
  <c r="P17" i="1"/>
  <c r="X59" i="1"/>
  <c r="Y59" i="1" s="1"/>
  <c r="P59" i="1"/>
  <c r="X51" i="1"/>
  <c r="Y51" i="1" s="1"/>
  <c r="P51" i="1"/>
  <c r="X67" i="1"/>
  <c r="Y67" i="1" s="1"/>
  <c r="X77" i="1"/>
  <c r="Y77" i="1" s="1"/>
  <c r="P77" i="1"/>
  <c r="O90" i="1"/>
  <c r="N90" i="1"/>
  <c r="N98" i="1" s="1"/>
  <c r="G61" i="1"/>
  <c r="F64" i="1"/>
  <c r="E72" i="1"/>
  <c r="F72" i="1" s="1"/>
  <c r="G86" i="1"/>
  <c r="J86" i="1"/>
  <c r="R86" i="1"/>
  <c r="M98" i="1"/>
  <c r="F15" i="1"/>
  <c r="H29" i="1"/>
  <c r="G29" i="1" s="1"/>
  <c r="E61" i="1"/>
  <c r="P43" i="1"/>
  <c r="R72" i="1"/>
  <c r="T31" i="1"/>
  <c r="T98" i="1"/>
  <c r="F21" i="1"/>
  <c r="G98" i="1"/>
  <c r="X22" i="1"/>
  <c r="P22" i="1"/>
  <c r="X30" i="1"/>
  <c r="Y30" i="1" s="1"/>
  <c r="P30" i="1"/>
  <c r="X40" i="1"/>
  <c r="Y40" i="1" s="1"/>
  <c r="P40" i="1"/>
  <c r="X56" i="1"/>
  <c r="Y56" i="1" s="1"/>
  <c r="P56" i="1"/>
  <c r="X48" i="1"/>
  <c r="Y48" i="1" s="1"/>
  <c r="P48" i="1"/>
  <c r="P70" i="1"/>
  <c r="X70" i="1"/>
  <c r="Y70" i="1" s="1"/>
  <c r="G72" i="1"/>
  <c r="H63" i="1"/>
  <c r="H72" i="1" s="1"/>
  <c r="X21" i="1"/>
  <c r="Y21" i="1" s="1"/>
  <c r="P21" i="1"/>
  <c r="X29" i="1"/>
  <c r="Y29" i="1" s="1"/>
  <c r="O31" i="1"/>
  <c r="P29" i="1"/>
  <c r="X39" i="1"/>
  <c r="Y39" i="1" s="1"/>
  <c r="P39" i="1"/>
  <c r="X55" i="1"/>
  <c r="Y55" i="1" s="1"/>
  <c r="P55" i="1"/>
  <c r="X63" i="1"/>
  <c r="X81" i="1"/>
  <c r="Y81" i="1" s="1"/>
  <c r="P81" i="1"/>
  <c r="E86" i="1"/>
  <c r="F86" i="1" s="1"/>
  <c r="H59" i="1"/>
  <c r="R26" i="1"/>
  <c r="P42" i="1"/>
  <c r="P33" i="1"/>
  <c r="P23" i="1"/>
  <c r="X20" i="1"/>
  <c r="Y20" i="1" s="1"/>
  <c r="X33" i="1"/>
  <c r="X38" i="1"/>
  <c r="Y38" i="1" s="1"/>
  <c r="X64" i="1"/>
  <c r="Y64" i="1" s="1"/>
  <c r="X74" i="1"/>
  <c r="O89" i="1"/>
  <c r="P75" i="1"/>
  <c r="P57" i="1"/>
  <c r="P49" i="1"/>
  <c r="X19" i="1"/>
  <c r="Y19" i="1" s="1"/>
  <c r="X28" i="1"/>
  <c r="X47" i="1"/>
  <c r="E98" i="1"/>
  <c r="F98" i="1" s="1"/>
  <c r="G17" i="4" l="1"/>
  <c r="H17" i="4" s="1"/>
  <c r="U98" i="1"/>
  <c r="E18" i="4"/>
  <c r="E19" i="4" s="1"/>
  <c r="F19" i="4" s="1"/>
  <c r="G18" i="4"/>
  <c r="H18" i="4" s="1"/>
  <c r="I17" i="4"/>
  <c r="F18" i="4"/>
  <c r="E21" i="4"/>
  <c r="F21" i="4" s="1"/>
  <c r="H14" i="4"/>
  <c r="C19" i="4"/>
  <c r="H13" i="4"/>
  <c r="S99" i="1"/>
  <c r="W99" i="1" s="1"/>
  <c r="W98" i="1"/>
  <c r="X60" i="1"/>
  <c r="Y60" i="1" s="1"/>
  <c r="N45" i="1"/>
  <c r="P68" i="1"/>
  <c r="O72" i="1"/>
  <c r="Y22" i="1"/>
  <c r="Q100" i="1"/>
  <c r="Q102" i="1" s="1"/>
  <c r="Q103" i="1" s="1"/>
  <c r="C22" i="4" s="1"/>
  <c r="F25" i="1"/>
  <c r="K100" i="1"/>
  <c r="K102" i="1" s="1"/>
  <c r="P60" i="1"/>
  <c r="P61" i="1" s="1"/>
  <c r="X88" i="1"/>
  <c r="Y88" i="1" s="1"/>
  <c r="P88" i="1"/>
  <c r="U99" i="1"/>
  <c r="V99" i="1"/>
  <c r="P86" i="1"/>
  <c r="X82" i="1"/>
  <c r="Y82" i="1" s="1"/>
  <c r="F23" i="1"/>
  <c r="N99" i="1"/>
  <c r="N100" i="1" s="1"/>
  <c r="N102" i="1" s="1"/>
  <c r="X71" i="1"/>
  <c r="Y71" i="1" s="1"/>
  <c r="E26" i="1"/>
  <c r="F26" i="1" s="1"/>
  <c r="P35" i="1"/>
  <c r="H61" i="1"/>
  <c r="H99" i="1" s="1"/>
  <c r="L99" i="1"/>
  <c r="R99" i="1"/>
  <c r="O86" i="1"/>
  <c r="T99" i="1"/>
  <c r="O45" i="1"/>
  <c r="H26" i="1"/>
  <c r="H45" i="1" s="1"/>
  <c r="J99" i="1"/>
  <c r="T45" i="1"/>
  <c r="J45" i="1"/>
  <c r="F61" i="1"/>
  <c r="M99" i="1"/>
  <c r="M100" i="1" s="1"/>
  <c r="P31" i="1"/>
  <c r="P26" i="1"/>
  <c r="J6" i="1"/>
  <c r="P71" i="1"/>
  <c r="P72" i="1" s="1"/>
  <c r="L45" i="1"/>
  <c r="R45" i="1"/>
  <c r="P44" i="1"/>
  <c r="H31" i="1"/>
  <c r="I103" i="1"/>
  <c r="X35" i="1"/>
  <c r="Y33" i="1"/>
  <c r="Y35" i="1" s="1"/>
  <c r="X90" i="1"/>
  <c r="Y90" i="1" s="1"/>
  <c r="P90" i="1"/>
  <c r="X44" i="1"/>
  <c r="Y37" i="1"/>
  <c r="Y44" i="1" s="1"/>
  <c r="E99" i="1"/>
  <c r="F99" i="1" s="1"/>
  <c r="X26" i="1"/>
  <c r="Y15" i="1"/>
  <c r="Y26" i="1" s="1"/>
  <c r="E45" i="1"/>
  <c r="G99" i="1"/>
  <c r="O98" i="1"/>
  <c r="P89" i="1"/>
  <c r="X89" i="1"/>
  <c r="G35" i="1"/>
  <c r="G26" i="1"/>
  <c r="Y47" i="1"/>
  <c r="X31" i="1"/>
  <c r="Y28" i="1"/>
  <c r="Y31" i="1" s="1"/>
  <c r="Y74" i="1"/>
  <c r="K103" i="1"/>
  <c r="L103" i="1" s="1"/>
  <c r="Y63" i="1"/>
  <c r="G31" i="1"/>
  <c r="G19" i="4" l="1"/>
  <c r="G21" i="4" s="1"/>
  <c r="I18" i="4"/>
  <c r="S100" i="1"/>
  <c r="W100" i="1" s="1"/>
  <c r="W102" i="1" s="1"/>
  <c r="D22" i="4"/>
  <c r="D19" i="4"/>
  <c r="C21" i="4"/>
  <c r="I19" i="4"/>
  <c r="X61" i="1"/>
  <c r="P45" i="1"/>
  <c r="Y61" i="1"/>
  <c r="H100" i="1"/>
  <c r="H102" i="1" s="1"/>
  <c r="H104" i="1" s="1"/>
  <c r="H107" i="1" s="1"/>
  <c r="T100" i="1"/>
  <c r="T102" i="1" s="1"/>
  <c r="U100" i="1"/>
  <c r="U102" i="1" s="1"/>
  <c r="X86" i="1"/>
  <c r="Y86" i="1"/>
  <c r="R103" i="1"/>
  <c r="R100" i="1"/>
  <c r="R102" i="1" s="1"/>
  <c r="V100" i="1"/>
  <c r="V102" i="1" s="1"/>
  <c r="Y72" i="1"/>
  <c r="X72" i="1"/>
  <c r="L100" i="1"/>
  <c r="L102" i="1" s="1"/>
  <c r="L104" i="1" s="1"/>
  <c r="L107" i="1" s="1"/>
  <c r="Q104" i="1"/>
  <c r="Q107" i="1" s="1"/>
  <c r="Y45" i="1"/>
  <c r="J100" i="1"/>
  <c r="J102" i="1" s="1"/>
  <c r="X45" i="1"/>
  <c r="G45" i="1"/>
  <c r="G100" i="1" s="1"/>
  <c r="G102" i="1" s="1"/>
  <c r="G104" i="1" s="1"/>
  <c r="G107" i="1" s="1"/>
  <c r="O99" i="1"/>
  <c r="O100" i="1" s="1"/>
  <c r="O102" i="1" s="1"/>
  <c r="J103" i="1"/>
  <c r="I104" i="1"/>
  <c r="I107" i="1" s="1"/>
  <c r="M102" i="1"/>
  <c r="K104" i="1"/>
  <c r="K107" i="1" s="1"/>
  <c r="P98" i="1"/>
  <c r="P99" i="1" s="1"/>
  <c r="F45" i="1"/>
  <c r="F6" i="1" s="1"/>
  <c r="E6" i="1" s="1"/>
  <c r="H6" i="1" s="1"/>
  <c r="E100" i="1"/>
  <c r="Y89" i="1"/>
  <c r="Y98" i="1" s="1"/>
  <c r="X98" i="1"/>
  <c r="H19" i="4" l="1"/>
  <c r="S102" i="1"/>
  <c r="S103" i="1" s="1"/>
  <c r="E22" i="4" s="1"/>
  <c r="C23" i="4"/>
  <c r="I21" i="4"/>
  <c r="D21" i="4"/>
  <c r="H21" i="4"/>
  <c r="R104" i="1"/>
  <c r="R107" i="1" s="1"/>
  <c r="P100" i="1"/>
  <c r="P102" i="1" s="1"/>
  <c r="X99" i="1"/>
  <c r="X100" i="1" s="1"/>
  <c r="X102" i="1" s="1"/>
  <c r="Y99" i="1"/>
  <c r="Y100" i="1" s="1"/>
  <c r="Y102" i="1" s="1"/>
  <c r="J104" i="1"/>
  <c r="J107" i="1" s="1"/>
  <c r="M103" i="1"/>
  <c r="E101" i="1"/>
  <c r="F101" i="1" s="1"/>
  <c r="F100" i="1"/>
  <c r="W103" i="1" l="1"/>
  <c r="T103" i="1"/>
  <c r="T104" i="1" s="1"/>
  <c r="T107" i="1" s="1"/>
  <c r="U103" i="1"/>
  <c r="V103" i="1" s="1"/>
  <c r="V104" i="1" s="1"/>
  <c r="V107" i="1" s="1"/>
  <c r="S104" i="1"/>
  <c r="S107" i="1" s="1"/>
  <c r="F22" i="4"/>
  <c r="E23" i="4"/>
  <c r="I23" i="4" s="1"/>
  <c r="I22" i="4"/>
  <c r="G22" i="4"/>
  <c r="D23" i="4"/>
  <c r="C26" i="4"/>
  <c r="U104" i="1"/>
  <c r="U107" i="1" s="1"/>
  <c r="E102" i="1"/>
  <c r="F102" i="1" s="1"/>
  <c r="N103" i="1"/>
  <c r="N104" i="1" s="1"/>
  <c r="N107" i="1" s="1"/>
  <c r="O103" i="1"/>
  <c r="M104" i="1"/>
  <c r="W104" i="1" l="1"/>
  <c r="W107" i="1"/>
  <c r="H22" i="4"/>
  <c r="G23" i="4"/>
  <c r="F23" i="4"/>
  <c r="E26" i="4"/>
  <c r="F26" i="4" s="1"/>
  <c r="D26" i="4"/>
  <c r="E104" i="1"/>
  <c r="J128" i="1"/>
  <c r="M107" i="1"/>
  <c r="E107" i="1"/>
  <c r="F104" i="1"/>
  <c r="F107" i="1" s="1"/>
  <c r="X103" i="1"/>
  <c r="P103" i="1"/>
  <c r="P104" i="1" s="1"/>
  <c r="P107" i="1" s="1"/>
  <c r="O104" i="1"/>
  <c r="I26" i="4" l="1"/>
  <c r="H23" i="4"/>
  <c r="G26" i="4"/>
  <c r="H26" i="4" s="1"/>
  <c r="I127" i="1"/>
  <c r="Y103" i="1"/>
  <c r="Y104" i="1" s="1"/>
  <c r="Y107" i="1" s="1"/>
  <c r="X104" i="1"/>
  <c r="X107" i="1" s="1"/>
  <c r="O107" i="1"/>
  <c r="I128" i="1" l="1"/>
  <c r="J129" i="1"/>
  <c r="J130" i="1" l="1"/>
  <c r="I130" i="1" s="1"/>
  <c r="I129" i="1"/>
</calcChain>
</file>

<file path=xl/sharedStrings.xml><?xml version="1.0" encoding="utf-8"?>
<sst xmlns="http://schemas.openxmlformats.org/spreadsheetml/2006/main" count="283" uniqueCount="167">
  <si>
    <t xml:space="preserve"> </t>
  </si>
  <si>
    <t>Budget alloué</t>
  </si>
  <si>
    <t>APB</t>
  </si>
  <si>
    <t>Activités</t>
  </si>
  <si>
    <t>UE</t>
  </si>
  <si>
    <t>RH+Fonct</t>
  </si>
  <si>
    <t>Total</t>
  </si>
  <si>
    <t>Cout indirect</t>
  </si>
  <si>
    <t>Cout indirect % for RNE:</t>
  </si>
  <si>
    <t>1. Budget de l’action</t>
  </si>
  <si>
    <t>Planification Toutes les années</t>
  </si>
  <si>
    <t>Commentaires</t>
  </si>
  <si>
    <t>Coûts</t>
  </si>
  <si>
    <t>Unité</t>
  </si>
  <si>
    <t>Nº d'unités</t>
  </si>
  <si>
    <t>Valeur unitaire              (en EUR)</t>
  </si>
  <si>
    <t>Coût total                (en EUR)</t>
  </si>
  <si>
    <t>Coût total                (en FCFA)</t>
  </si>
  <si>
    <t>1. Ressources humaines</t>
  </si>
  <si>
    <t>FCFA</t>
  </si>
  <si>
    <t>Euro</t>
  </si>
  <si>
    <t>NIMD/IGD</t>
  </si>
  <si>
    <t>1.1 Coordonnateur du projet 30%</t>
  </si>
  <si>
    <t>Par mois</t>
  </si>
  <si>
    <t>1.2 Responsable Administratif et Financier 50%</t>
  </si>
  <si>
    <t xml:space="preserve">1.3 Chargé de projet 100% </t>
  </si>
  <si>
    <t>1.4 Assistant Comptable projet 100%</t>
  </si>
  <si>
    <t>1.5 Secrétaire projet 50%</t>
  </si>
  <si>
    <t>1.6 Chargé suivi-évaluation du projet 50%</t>
  </si>
  <si>
    <t>1.7 Chauffeur coursier 100%</t>
  </si>
  <si>
    <t>1.8 Gardien 100%</t>
  </si>
  <si>
    <t xml:space="preserve">1.9 Technical assistance finance and control </t>
  </si>
  <si>
    <t>Par jour</t>
  </si>
  <si>
    <t>1.10 Technical assistance programme development, thematic advise and MEAL</t>
  </si>
  <si>
    <t>1.11 Technical assistance political advise, lobby and advocacy</t>
  </si>
  <si>
    <t>Sous-total Ressources humaines</t>
  </si>
  <si>
    <t>2. Véhicules</t>
  </si>
  <si>
    <t>2.1. Achat véhicule</t>
  </si>
  <si>
    <t>2.2. Entretien véhicule</t>
  </si>
  <si>
    <t>2.3. Carburant véhicule</t>
  </si>
  <si>
    <t>Sous-total Véhicules</t>
  </si>
  <si>
    <t xml:space="preserve">3. Équipement informatiques </t>
  </si>
  <si>
    <t>3.1 Matériel informatique (Ordinateur secrétaire, Assistant Comptable, Chargé de Projet, Chargé de Programme Régional)</t>
  </si>
  <si>
    <t>Par personne</t>
  </si>
  <si>
    <t>3.2 Matériel informatique (imprimante)</t>
  </si>
  <si>
    <t>Sous-total Équipement</t>
  </si>
  <si>
    <t xml:space="preserve">4. Fournitures, consommables et frais financiers </t>
  </si>
  <si>
    <t xml:space="preserve">  </t>
  </si>
  <si>
    <t>4.1 Contribution Consommables - fournitures de bureau</t>
  </si>
  <si>
    <t>4.2 Contribution Location de bureaux</t>
  </si>
  <si>
    <t>4.3 Contribution communication</t>
  </si>
  <si>
    <t>4.4.Contribution électricité/chauffage</t>
  </si>
  <si>
    <t>4.5 Contribution office maintenance</t>
  </si>
  <si>
    <t xml:space="preserve">4.6 Contribution Coûts d'assurances </t>
  </si>
  <si>
    <t xml:space="preserve">Par an </t>
  </si>
  <si>
    <t>4.7 Services financiers (coûts de garantie bancaire, etc.)</t>
  </si>
  <si>
    <t>Sous-total office running costs</t>
  </si>
  <si>
    <t>Total Fonctionnement</t>
  </si>
  <si>
    <t>7.  Sous-total des coûts directs éligibles de l'action (1 à 6)</t>
  </si>
  <si>
    <t xml:space="preserve">8. Provision pour imprévus (maximum 5 % de la ligne 7 Sous-total des coûts directs éligibles de l’action </t>
  </si>
  <si>
    <t xml:space="preserve">9. Total des coûts directs éligibles de l'action (7+8) </t>
  </si>
  <si>
    <t xml:space="preserve">10. Coûts indirects (maximum 10 % de la ligne 7 Sous-total des coûts directs éligibles de l’action) </t>
  </si>
  <si>
    <t>11. Total des coûts éligibles (9+10)</t>
  </si>
  <si>
    <t>12.  - Taxes</t>
  </si>
  <si>
    <t>12.  - Contributions en nature</t>
  </si>
  <si>
    <t>13. Total des coûts acceptés de l'action (11+12)</t>
  </si>
  <si>
    <t>EUR</t>
  </si>
  <si>
    <t>PROGRAMME PLURIANNUEL DE : RENFORCEMENT ET APPUI POUR DES PARTIS POLITIQUES INCLUSIFS ET DEMOCRATIQUES – RAPPID (2022-2026)</t>
  </si>
  <si>
    <t>AMBASSADE DES PAYS-BAS</t>
  </si>
  <si>
    <t>Dépenses cumulées à fin 2024</t>
  </si>
  <si>
    <t>% consommation 2024</t>
  </si>
  <si>
    <t>Activités transversales</t>
  </si>
  <si>
    <t xml:space="preserve">A.0.1 Lancement officel et  présentation du programme </t>
  </si>
  <si>
    <t>Par atelier</t>
  </si>
  <si>
    <t>A.0.2 Atelier d’appropriation des acteurs de mise en œuvre sur les outils/approches ainsi que les procédures à utiliser dans le cadre du projet</t>
  </si>
  <si>
    <t>A.0.3 Etude de référence (semi interne)</t>
  </si>
  <si>
    <t>Par étude</t>
  </si>
  <si>
    <t>A.0.4 Elaboration d'un plan de communication et de visibilité</t>
  </si>
  <si>
    <t>A.0.5 Mise en place du Comité de suivi du projet et ateliers de planification et de revue semestriels et annuels </t>
  </si>
  <si>
    <t>A.0.6 Mission de suivi évaluation interne périodique et de mis en œuvre du projet</t>
  </si>
  <si>
    <t>Par mission</t>
  </si>
  <si>
    <t>A.0.7 Mission de suivi évaluation externe et assurance qualité NIMD Pays-Bas</t>
  </si>
  <si>
    <t>A.0.8 Evaluations externes, à mi-parcours et finale</t>
  </si>
  <si>
    <t>A.0.9 Coûts d'audit/vérification des dépenses</t>
  </si>
  <si>
    <t>Par audit</t>
  </si>
  <si>
    <t>A.0.10 Actions de visibilité</t>
  </si>
  <si>
    <t>A.0.11 Atelier de capitalisation et de clôture du projet </t>
  </si>
  <si>
    <t>A.0.12 Facilitateur d'appui au projet</t>
  </si>
  <si>
    <t>A.0.13 Renforcement capacités IGD en appui aux partis politique et gouvernance</t>
  </si>
  <si>
    <t>Forfait</t>
  </si>
  <si>
    <t>A.0.14 Séances de travail périodiques avec les partis politiques (nouvelle activité)</t>
  </si>
  <si>
    <t>Par activité</t>
  </si>
  <si>
    <t>Sous-total Activités transversales</t>
  </si>
  <si>
    <t>R1 Résultat 1. Les partis politiques sont plus inclusifs, plus attractifs, plus représentatifs et performants</t>
  </si>
  <si>
    <t>A1-1 : Appui des partis en matériel bureautique et informatique et en Equipements d'éducation à distance</t>
  </si>
  <si>
    <t xml:space="preserve">A1-2 : Appui dans l'élaboration des outils de fonctionnement: Plan stratégique, Plan de Communication, Plan de formation, et autres outils spécifiques </t>
  </si>
  <si>
    <t xml:space="preserve">A1-3 : Accompagnement dans l’initiation ou la poursuite de l’élaboration de politiques sensibles genre et des stratégies d’autonomisation des jeunes et des femmes </t>
  </si>
  <si>
    <t>A1-4 : Appui à la mise en place des pôles de compétences de formateurs au sein des partis (formation des formateurs, divers appuis écoles des partis politiques)</t>
  </si>
  <si>
    <t>A1-5 : Appui aux initiatives de redevabilité et d’interaction avec les militant(e)s à la base des partis et accompagnement dans la mise en œuvre des programmes d’activités et Plans de Travail Annuels des partis</t>
  </si>
  <si>
    <t xml:space="preserve">A1-6 : Création et fonctionnement d’une école multipartite de la démocratie </t>
  </si>
  <si>
    <t>A1-7: Animation politique villageoise-causerie débats avec les communautés à la base (Sous l'arbre à palabres)</t>
  </si>
  <si>
    <t xml:space="preserve">A1-8 Création des espaces débat élu/ citoyens (cafés politiques) </t>
  </si>
  <si>
    <t>A.1.9. Appui aux partis politiques pour la construction de bases de données consolidées et modernes (nouvelle activité)</t>
  </si>
  <si>
    <t>Sous-total Résultat 1</t>
  </si>
  <si>
    <t>(R2) : L’environnement partisan et électoral béninois est favorable au rayonnement et à l’action efficace des partis politiques.</t>
  </si>
  <si>
    <t>A2-1 : Faciliter le renforcement des capacités de la Commission Electorale Nationale Autonome (Conseil Electoral et Direction Générale des Elections)</t>
  </si>
  <si>
    <t xml:space="preserve">A2-2 : Accompagner la CENA dans la formation et l’accompagnement des partis politiques dans le cadre des processus électoraux </t>
  </si>
  <si>
    <t>A2-3 : Appuyer le Médiateur de la République dans ses missions d’apaisement et de conciliation spécifiques au système partisan (dispositif d’alerte précoce et de prévention de conflits politiques et sociaux)</t>
  </si>
  <si>
    <t>A2-4 : Appui à la création et au fonctionnement d’un cadre de concertation des différents acteurs dans cinq communes pour prévenir les crises politiques et communautaires</t>
  </si>
  <si>
    <t>A2-5 : Voyages d’échanges et de partage d'expériences institutions et Partis Politiques</t>
  </si>
  <si>
    <t xml:space="preserve">A2-6: Campagne de sensibilisation pour la paix en période électorale (Vote Fifa 229) </t>
  </si>
  <si>
    <t>A2-7 : Audiences publiques des députés (système politique, système électoral etc)</t>
  </si>
  <si>
    <t>A2-8 : Colloques scientifiques et recherche-action (assortis de publication)</t>
  </si>
  <si>
    <t>A.2-9 Appui au Ministères sectoriels dans leurs rôles et missions dans le système partisan et le système électoral (Nouvelle activité)</t>
  </si>
  <si>
    <t>Sous-total Résultat 2</t>
  </si>
  <si>
    <t>(R3) : Le dialogue interpartis est devenu un outil de prévention et règlement des crises politiques au Bénin</t>
  </si>
  <si>
    <t>A3-1 : Renforcement des capacités des responsables de partis politiques et d’Institutions de la République sur les techniques et principes du dialogue interpartis et les thématiques connexes</t>
  </si>
  <si>
    <t>A3-2 : Mise en place et fonctionnement de la plateforme permanente de dialogue interpartis du Bénin et appui au fonctionnement de son secrétariat permanent.</t>
  </si>
  <si>
    <t>A3-3 : suivi des initiatives issues des résolutions des processus de dialogue interpartis de la plateforme</t>
  </si>
  <si>
    <t>A3-5 : Initiative  ‘’La Conférence des élus’’ dans les communes à Statut particulier</t>
  </si>
  <si>
    <t>A3-6: Les Caucus multipartites des dirigeants (ou responsables) politiques</t>
  </si>
  <si>
    <t>A3-8: Mise en place et animation du Réseau des Journalistes et Communicateurs spécialistes du dialogue interpartis</t>
  </si>
  <si>
    <t>A3-9 : Colloques scientifiques et recherche-action (assortis de publication)</t>
  </si>
  <si>
    <t>Sous-total Résultat 3</t>
  </si>
  <si>
    <t>Total activités</t>
  </si>
  <si>
    <t>Dépenses approuvées 2023</t>
  </si>
  <si>
    <t>Dépenses approuvées 2022</t>
  </si>
  <si>
    <t>Budget 2025</t>
  </si>
  <si>
    <t>Dépenses cumulées à fin 2025</t>
  </si>
  <si>
    <t>Dépenses 2025</t>
  </si>
  <si>
    <t>Dépenses approuvées 2024</t>
  </si>
  <si>
    <t xml:space="preserve">A 2.10 Organiser une mission d'Observation des élections générale de 2026 </t>
  </si>
  <si>
    <t xml:space="preserve">A 2.11  Former des leaders locaux et relais communautaires sur la prévention des discours de haine </t>
  </si>
  <si>
    <t xml:space="preserve">A.2.12 Elaborer un code de bonne conduite électorale, avec engagement public des partis politiques et acteurs locaux </t>
  </si>
  <si>
    <t xml:space="preserve">A3.10 : Appuyer le fonctionnement des cadres de concertation communaux  dans cinq (05) communes pour prévenir les crises politiques et communautaires </t>
  </si>
  <si>
    <r>
      <t xml:space="preserve">A 3.11  Faciliter le dialogue dans les cadres de concertation à l'échelle communale </t>
    </r>
    <r>
      <rPr>
        <b/>
        <i/>
        <sz val="10"/>
        <color theme="4"/>
        <rFont val="Calibri Light"/>
        <family val="2"/>
        <scheme val="major"/>
      </rPr>
      <t xml:space="preserve"> </t>
    </r>
  </si>
  <si>
    <r>
      <t>A 3.12. Organiser un Dialogue autour des jeunes militants de partis politiques sur la paix en période électorale</t>
    </r>
    <r>
      <rPr>
        <b/>
        <sz val="10"/>
        <color rgb="FFC00000"/>
        <rFont val="Calibri Light"/>
        <family val="2"/>
        <scheme val="major"/>
      </rPr>
      <t xml:space="preserve"> </t>
    </r>
  </si>
  <si>
    <t>Solde budget 2025</t>
  </si>
  <si>
    <t>Taux 2025</t>
  </si>
  <si>
    <t>%</t>
  </si>
  <si>
    <t>RUBRIQUES</t>
  </si>
  <si>
    <t>EURO</t>
  </si>
  <si>
    <t>BUDGET INITIAL RAPPID</t>
  </si>
  <si>
    <t>BUDGET ADDITIONNEL 2025</t>
  </si>
  <si>
    <t>TOTAL DISPONIBLE RAPPID</t>
  </si>
  <si>
    <t>BUDGET 2022 réalisé</t>
  </si>
  <si>
    <t>BUDGET 2023 réalisé</t>
  </si>
  <si>
    <t>BUDGET 2024 réalisé</t>
  </si>
  <si>
    <t>BUDGET 2025</t>
  </si>
  <si>
    <t>BUDGET 2026</t>
  </si>
  <si>
    <t>TOTAL PLANIFIE</t>
  </si>
  <si>
    <t>SOLDE</t>
  </si>
  <si>
    <t>BUDGET 2025 réalisé</t>
  </si>
  <si>
    <t>Solde Budget 2025 au 31.12.2025</t>
  </si>
  <si>
    <t xml:space="preserve">NIMD </t>
  </si>
  <si>
    <t>MONTANT</t>
  </si>
  <si>
    <t>EUROS</t>
  </si>
  <si>
    <t>ENTREES DE LA PERIODE</t>
  </si>
  <si>
    <t>VIREMENT RECU</t>
  </si>
  <si>
    <t>TOTAL RESSOURCE DISPONIBLE</t>
  </si>
  <si>
    <t>EMPLOIS DE LA PERIODE</t>
  </si>
  <si>
    <t>Investissement</t>
  </si>
  <si>
    <t>Fonctionnement et RH</t>
  </si>
  <si>
    <t>Coûts indirects</t>
  </si>
  <si>
    <t>TABLEAU DES RESSOURCES ET EMPLOIS AU 31/12/2025</t>
  </si>
  <si>
    <t>SOLDE D'OUVERTURE AU 01/01/2025</t>
  </si>
  <si>
    <t>SOLDE DISPONIBLE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</si>
</sst>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-* #,##0\ _C_F_A_-;\-* #,##0\ _C_F_A_-;_-* &quot;-&quot;\ _C_F_A_-;_-@_-"/>
    <numFmt numFmtId="166" formatCode="_-* #,##0.00\ _€_-;\-* #,##0.00\ _€_-;_-* &quot;-&quot;??\ _€_-;_-@_-"/>
    <numFmt numFmtId="167" formatCode="_-* #,##0.0\ _C_F_A_-;\-* #,##0.0\ _C_F_A_-;_-* &quot;-&quot;?\ _C_F_A_-;_-@_-"/>
    <numFmt numFmtId="168" formatCode="0.00000000%"/>
    <numFmt numFmtId="169" formatCode="0.0%"/>
    <numFmt numFmtId="170" formatCode="_ * #,##0.000_ ;_ * \-#,##0.000_ ;_ * &quot;-&quot;_ ;_ @_ "/>
    <numFmt numFmtId="171" formatCode="_-* #,##0\ _€_-;\-* #,##0\ _€_-;_-* &quot;-&quot;??\ _€_-;_-@_-"/>
    <numFmt numFmtId="172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b/>
      <i/>
      <u/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0"/>
      <color theme="4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4"/>
      <name val="Calibri Light"/>
      <family val="2"/>
      <scheme val="major"/>
    </font>
    <font>
      <i/>
      <sz val="12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i/>
      <sz val="12"/>
      <color theme="1"/>
      <name val="Book Antiqua"/>
      <family val="1"/>
    </font>
    <font>
      <sz val="12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9" fontId="2" fillId="0" borderId="0" xfId="2" applyFont="1" applyBorder="1" applyAlignment="1">
      <alignment vertical="center"/>
    </xf>
    <xf numFmtId="9" fontId="2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Font="1" applyAlignment="1">
      <alignment vertical="center"/>
    </xf>
    <xf numFmtId="166" fontId="2" fillId="0" borderId="0" xfId="3" applyFont="1" applyBorder="1" applyAlignment="1">
      <alignment vertical="center"/>
    </xf>
    <xf numFmtId="0" fontId="4" fillId="0" borderId="0" xfId="0" applyFont="1"/>
    <xf numFmtId="164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165" fontId="2" fillId="0" borderId="0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9" fontId="4" fillId="0" borderId="5" xfId="2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9" fontId="4" fillId="0" borderId="7" xfId="2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5" fontId="4" fillId="0" borderId="1" xfId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8" fontId="2" fillId="6" borderId="1" xfId="2" applyNumberFormat="1" applyFont="1" applyFill="1" applyBorder="1" applyAlignment="1">
      <alignment horizontal="right" vertical="center"/>
    </xf>
    <xf numFmtId="165" fontId="2" fillId="6" borderId="10" xfId="1" applyFont="1" applyFill="1" applyBorder="1" applyAlignment="1">
      <alignment vertical="center"/>
    </xf>
    <xf numFmtId="164" fontId="4" fillId="4" borderId="5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/>
    </xf>
    <xf numFmtId="169" fontId="2" fillId="0" borderId="1" xfId="2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9" fontId="2" fillId="6" borderId="0" xfId="2" applyFont="1" applyFill="1" applyAlignment="1">
      <alignment vertical="center"/>
    </xf>
    <xf numFmtId="0" fontId="4" fillId="6" borderId="12" xfId="0" applyFont="1" applyFill="1" applyBorder="1" applyAlignment="1">
      <alignment horizontal="centerContinuous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4" fillId="6" borderId="15" xfId="0" applyFont="1" applyFill="1" applyBorder="1" applyAlignment="1">
      <alignment horizontal="centerContinuous" vertical="center" wrapText="1"/>
    </xf>
    <xf numFmtId="0" fontId="4" fillId="6" borderId="16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165" fontId="2" fillId="4" borderId="4" xfId="1" applyFont="1" applyFill="1" applyBorder="1" applyAlignment="1">
      <alignment vertical="center"/>
    </xf>
    <xf numFmtId="165" fontId="2" fillId="0" borderId="4" xfId="1" applyFont="1" applyBorder="1" applyAlignment="1">
      <alignment vertical="center"/>
    </xf>
    <xf numFmtId="165" fontId="2" fillId="0" borderId="5" xfId="1" applyFont="1" applyBorder="1" applyAlignment="1">
      <alignment vertical="center"/>
    </xf>
    <xf numFmtId="165" fontId="4" fillId="2" borderId="4" xfId="1" applyFont="1" applyFill="1" applyBorder="1" applyAlignment="1">
      <alignment vertical="center"/>
    </xf>
    <xf numFmtId="165" fontId="4" fillId="2" borderId="5" xfId="1" applyFont="1" applyFill="1" applyBorder="1" applyAlignment="1">
      <alignment vertical="center"/>
    </xf>
    <xf numFmtId="165" fontId="4" fillId="5" borderId="4" xfId="1" applyFont="1" applyFill="1" applyBorder="1" applyAlignment="1">
      <alignment vertical="center"/>
    </xf>
    <xf numFmtId="165" fontId="4" fillId="5" borderId="5" xfId="1" applyFont="1" applyFill="1" applyBorder="1" applyAlignment="1">
      <alignment vertical="center"/>
    </xf>
    <xf numFmtId="165" fontId="4" fillId="2" borderId="15" xfId="1" applyFont="1" applyFill="1" applyBorder="1" applyAlignment="1">
      <alignment vertical="center"/>
    </xf>
    <xf numFmtId="165" fontId="2" fillId="8" borderId="4" xfId="1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165" fontId="2" fillId="8" borderId="5" xfId="1" applyFont="1" applyFill="1" applyBorder="1" applyAlignment="1">
      <alignment vertical="center"/>
    </xf>
    <xf numFmtId="165" fontId="2" fillId="8" borderId="5" xfId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2" fillId="7" borderId="5" xfId="0" applyNumberFormat="1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4" fontId="2" fillId="6" borderId="10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164" fontId="2" fillId="9" borderId="1" xfId="0" applyNumberFormat="1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vertical="center"/>
    </xf>
    <xf numFmtId="164" fontId="4" fillId="9" borderId="4" xfId="0" applyNumberFormat="1" applyFont="1" applyFill="1" applyBorder="1" applyAlignment="1">
      <alignment vertical="center"/>
    </xf>
    <xf numFmtId="164" fontId="4" fillId="9" borderId="5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vertical="center"/>
    </xf>
    <xf numFmtId="164" fontId="2" fillId="9" borderId="4" xfId="0" applyNumberFormat="1" applyFont="1" applyFill="1" applyBorder="1" applyAlignment="1">
      <alignment vertical="center"/>
    </xf>
    <xf numFmtId="164" fontId="2" fillId="9" borderId="5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165" fontId="2" fillId="9" borderId="1" xfId="1" applyFont="1" applyFill="1" applyBorder="1" applyAlignment="1">
      <alignment horizontal="justify" vertical="center" wrapText="1"/>
    </xf>
    <xf numFmtId="168" fontId="2" fillId="9" borderId="1" xfId="2" applyNumberFormat="1" applyFont="1" applyFill="1" applyBorder="1" applyAlignment="1">
      <alignment horizontal="right" vertical="center"/>
    </xf>
    <xf numFmtId="9" fontId="4" fillId="3" borderId="5" xfId="2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4" fontId="2" fillId="0" borderId="15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centerContinuous" vertical="center" wrapText="1"/>
    </xf>
    <xf numFmtId="0" fontId="3" fillId="3" borderId="4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0" fontId="4" fillId="6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165" fontId="4" fillId="0" borderId="0" xfId="1" applyFont="1" applyBorder="1" applyAlignment="1">
      <alignment vertical="center"/>
    </xf>
    <xf numFmtId="164" fontId="2" fillId="8" borderId="5" xfId="0" applyNumberFormat="1" applyFont="1" applyFill="1" applyBorder="1" applyAlignment="1">
      <alignment vertical="center"/>
    </xf>
    <xf numFmtId="170" fontId="4" fillId="0" borderId="0" xfId="0" applyNumberFormat="1" applyFont="1" applyAlignment="1">
      <alignment vertical="center"/>
    </xf>
    <xf numFmtId="165" fontId="2" fillId="8" borderId="4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2" borderId="20" xfId="0" applyFont="1" applyFill="1" applyBorder="1" applyAlignment="1">
      <alignment horizontal="left" vertical="center" wrapText="1"/>
    </xf>
    <xf numFmtId="41" fontId="4" fillId="2" borderId="24" xfId="4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41" fontId="2" fillId="4" borderId="27" xfId="4" applyFont="1" applyFill="1" applyBorder="1" applyAlignment="1">
      <alignment vertical="center"/>
    </xf>
    <xf numFmtId="164" fontId="2" fillId="4" borderId="28" xfId="0" applyNumberFormat="1" applyFont="1" applyFill="1" applyBorder="1" applyAlignment="1">
      <alignment vertical="center"/>
    </xf>
    <xf numFmtId="41" fontId="2" fillId="6" borderId="27" xfId="4" applyFont="1" applyFill="1" applyBorder="1" applyAlignment="1">
      <alignment vertical="center"/>
    </xf>
    <xf numFmtId="164" fontId="2" fillId="4" borderId="27" xfId="0" applyNumberFormat="1" applyFont="1" applyFill="1" applyBorder="1" applyAlignment="1">
      <alignment vertical="center"/>
    </xf>
    <xf numFmtId="9" fontId="2" fillId="4" borderId="18" xfId="2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41" fontId="2" fillId="4" borderId="4" xfId="4" applyFont="1" applyFill="1" applyBorder="1" applyAlignment="1">
      <alignment vertical="center"/>
    </xf>
    <xf numFmtId="41" fontId="2" fillId="6" borderId="4" xfId="4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41" fontId="4" fillId="2" borderId="5" xfId="4" applyFont="1" applyFill="1" applyBorder="1" applyAlignment="1">
      <alignment vertical="center"/>
    </xf>
    <xf numFmtId="41" fontId="4" fillId="2" borderId="15" xfId="4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6" borderId="15" xfId="0" applyFont="1" applyFill="1" applyBorder="1" applyAlignment="1">
      <alignment horizontal="left" vertical="center" wrapText="1"/>
    </xf>
    <xf numFmtId="41" fontId="2" fillId="6" borderId="4" xfId="4" applyFont="1" applyFill="1" applyBorder="1" applyAlignment="1">
      <alignment vertical="center" wrapText="1"/>
    </xf>
    <xf numFmtId="0" fontId="2" fillId="6" borderId="29" xfId="0" applyFont="1" applyFill="1" applyBorder="1" applyAlignment="1">
      <alignment horizontal="left" vertical="center" wrapText="1"/>
    </xf>
    <xf numFmtId="41" fontId="2" fillId="6" borderId="30" xfId="4" applyFont="1" applyFill="1" applyBorder="1" applyAlignment="1">
      <alignment vertical="center" wrapText="1"/>
    </xf>
    <xf numFmtId="164" fontId="2" fillId="4" borderId="31" xfId="0" applyNumberFormat="1" applyFont="1" applyFill="1" applyBorder="1" applyAlignment="1">
      <alignment vertical="center"/>
    </xf>
    <xf numFmtId="41" fontId="2" fillId="6" borderId="30" xfId="4" applyFont="1" applyFill="1" applyBorder="1" applyAlignment="1">
      <alignment vertical="center"/>
    </xf>
    <xf numFmtId="164" fontId="2" fillId="4" borderId="30" xfId="0" applyNumberFormat="1" applyFont="1" applyFill="1" applyBorder="1" applyAlignment="1">
      <alignment vertical="center"/>
    </xf>
    <xf numFmtId="9" fontId="2" fillId="4" borderId="19" xfId="2" applyFont="1" applyFill="1" applyBorder="1" applyAlignment="1">
      <alignment vertical="center"/>
    </xf>
    <xf numFmtId="0" fontId="4" fillId="3" borderId="32" xfId="0" applyFont="1" applyFill="1" applyBorder="1" applyAlignment="1">
      <alignment horizontal="left" vertical="center" wrapText="1"/>
    </xf>
    <xf numFmtId="41" fontId="4" fillId="3" borderId="33" xfId="4" applyFont="1" applyFill="1" applyBorder="1" applyAlignment="1">
      <alignment vertical="center"/>
    </xf>
    <xf numFmtId="164" fontId="4" fillId="3" borderId="33" xfId="0" applyNumberFormat="1" applyFont="1" applyFill="1" applyBorder="1" applyAlignment="1">
      <alignment vertical="center"/>
    </xf>
    <xf numFmtId="9" fontId="4" fillId="3" borderId="33" xfId="2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41" fontId="4" fillId="3" borderId="34" xfId="4" applyFont="1" applyFill="1" applyBorder="1" applyAlignment="1">
      <alignment vertical="center"/>
    </xf>
    <xf numFmtId="164" fontId="4" fillId="3" borderId="34" xfId="0" applyNumberFormat="1" applyFont="1" applyFill="1" applyBorder="1" applyAlignment="1">
      <alignment vertical="center"/>
    </xf>
    <xf numFmtId="9" fontId="4" fillId="3" borderId="34" xfId="2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41" fontId="2" fillId="4" borderId="35" xfId="4" applyFont="1" applyFill="1" applyBorder="1" applyAlignment="1">
      <alignment vertical="center"/>
    </xf>
    <xf numFmtId="41" fontId="2" fillId="6" borderId="35" xfId="4" applyFont="1" applyFill="1" applyBorder="1" applyAlignment="1">
      <alignment vertical="center"/>
    </xf>
    <xf numFmtId="164" fontId="2" fillId="4" borderId="35" xfId="0" applyNumberFormat="1" applyFont="1" applyFill="1" applyBorder="1" applyAlignment="1">
      <alignment vertical="center"/>
    </xf>
    <xf numFmtId="164" fontId="2" fillId="4" borderId="19" xfId="0" applyNumberFormat="1" applyFont="1" applyFill="1" applyBorder="1" applyAlignment="1">
      <alignment vertical="center"/>
    </xf>
    <xf numFmtId="164" fontId="2" fillId="6" borderId="35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left" vertical="center" wrapText="1"/>
    </xf>
    <xf numFmtId="41" fontId="4" fillId="3" borderId="3" xfId="4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9" fontId="4" fillId="3" borderId="3" xfId="2" applyFont="1" applyFill="1" applyBorder="1" applyAlignment="1">
      <alignment vertical="center"/>
    </xf>
    <xf numFmtId="0" fontId="4" fillId="3" borderId="20" xfId="0" applyFont="1" applyFill="1" applyBorder="1" applyAlignment="1">
      <alignment horizontal="left" vertical="center" wrapText="1"/>
    </xf>
    <xf numFmtId="41" fontId="4" fillId="3" borderId="7" xfId="4" applyFont="1" applyFill="1" applyBorder="1" applyAlignment="1">
      <alignment vertical="center"/>
    </xf>
    <xf numFmtId="9" fontId="4" fillId="3" borderId="7" xfId="2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8" fillId="2" borderId="13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64" fontId="2" fillId="3" borderId="36" xfId="0" applyNumberFormat="1" applyFont="1" applyFill="1" applyBorder="1" applyAlignment="1">
      <alignment vertical="center"/>
    </xf>
    <xf numFmtId="164" fontId="2" fillId="3" borderId="31" xfId="0" applyNumberFormat="1" applyFont="1" applyFill="1" applyBorder="1" applyAlignment="1">
      <alignment vertical="center"/>
    </xf>
    <xf numFmtId="164" fontId="2" fillId="3" borderId="30" xfId="0" applyNumberFormat="1" applyFont="1" applyFill="1" applyBorder="1" applyAlignment="1">
      <alignment vertical="center"/>
    </xf>
    <xf numFmtId="164" fontId="2" fillId="3" borderId="37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vertical="center"/>
    </xf>
    <xf numFmtId="164" fontId="4" fillId="3" borderId="39" xfId="0" applyNumberFormat="1" applyFont="1" applyFill="1" applyBorder="1" applyAlignment="1">
      <alignment vertical="center"/>
    </xf>
    <xf numFmtId="164" fontId="4" fillId="3" borderId="38" xfId="0" applyNumberFormat="1" applyFont="1" applyFill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2" fillId="4" borderId="21" xfId="0" applyNumberFormat="1" applyFont="1" applyFill="1" applyBorder="1" applyAlignment="1">
      <alignment vertical="center"/>
    </xf>
    <xf numFmtId="164" fontId="2" fillId="4" borderId="15" xfId="0" applyNumberFormat="1" applyFont="1" applyFill="1" applyBorder="1" applyAlignment="1">
      <alignment vertical="center"/>
    </xf>
    <xf numFmtId="164" fontId="2" fillId="4" borderId="12" xfId="0" applyNumberFormat="1" applyFont="1" applyFill="1" applyBorder="1" applyAlignment="1">
      <alignment vertical="center"/>
    </xf>
    <xf numFmtId="165" fontId="2" fillId="8" borderId="12" xfId="1" applyFont="1" applyFill="1" applyBorder="1" applyAlignment="1">
      <alignment vertical="center"/>
    </xf>
    <xf numFmtId="164" fontId="2" fillId="7" borderId="15" xfId="0" applyNumberFormat="1" applyFont="1" applyFill="1" applyBorder="1" applyAlignment="1">
      <alignment vertical="center"/>
    </xf>
    <xf numFmtId="164" fontId="2" fillId="4" borderId="16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9" fontId="2" fillId="7" borderId="4" xfId="2" applyFont="1" applyFill="1" applyBorder="1" applyAlignment="1">
      <alignment vertical="center"/>
    </xf>
    <xf numFmtId="169" fontId="15" fillId="10" borderId="34" xfId="2" applyNumberFormat="1" applyFont="1" applyFill="1" applyBorder="1" applyAlignment="1">
      <alignment vertical="center"/>
    </xf>
    <xf numFmtId="9" fontId="4" fillId="2" borderId="5" xfId="2" applyFont="1" applyFill="1" applyBorder="1" applyAlignment="1">
      <alignment vertical="center"/>
    </xf>
    <xf numFmtId="165" fontId="16" fillId="0" borderId="0" xfId="1" applyFont="1" applyAlignment="1">
      <alignment vertical="center"/>
    </xf>
    <xf numFmtId="165" fontId="2" fillId="0" borderId="0" xfId="0" applyNumberFormat="1" applyFont="1" applyAlignment="1">
      <alignment vertical="center"/>
    </xf>
    <xf numFmtId="9" fontId="4" fillId="2" borderId="10" xfId="2" applyFont="1" applyFill="1" applyBorder="1" applyAlignment="1">
      <alignment vertical="center"/>
    </xf>
    <xf numFmtId="169" fontId="11" fillId="10" borderId="21" xfId="2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9" fontId="18" fillId="0" borderId="0" xfId="2" applyFont="1" applyAlignment="1">
      <alignment vertical="center"/>
    </xf>
    <xf numFmtId="165" fontId="12" fillId="0" borderId="1" xfId="1" applyFont="1" applyBorder="1" applyAlignment="1">
      <alignment vertical="center"/>
    </xf>
    <xf numFmtId="165" fontId="18" fillId="0" borderId="1" xfId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0" fontId="19" fillId="0" borderId="0" xfId="0" applyFont="1"/>
    <xf numFmtId="171" fontId="20" fillId="0" borderId="0" xfId="6" applyNumberFormat="1" applyFont="1"/>
    <xf numFmtId="0" fontId="20" fillId="0" borderId="0" xfId="0" applyFont="1"/>
    <xf numFmtId="171" fontId="19" fillId="0" borderId="1" xfId="6" applyNumberFormat="1" applyFont="1" applyBorder="1" applyAlignment="1">
      <alignment vertical="center"/>
    </xf>
    <xf numFmtId="171" fontId="19" fillId="0" borderId="5" xfId="6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71" fontId="20" fillId="0" borderId="1" xfId="6" applyNumberFormat="1" applyFont="1" applyBorder="1" applyAlignment="1">
      <alignment vertical="center"/>
    </xf>
    <xf numFmtId="0" fontId="21" fillId="0" borderId="4" xfId="0" applyFont="1" applyBorder="1" applyAlignment="1">
      <alignment horizontal="right" vertical="center"/>
    </xf>
    <xf numFmtId="171" fontId="20" fillId="0" borderId="5" xfId="6" applyNumberFormat="1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171" fontId="19" fillId="0" borderId="0" xfId="0" applyNumberFormat="1" applyFont="1"/>
    <xf numFmtId="0" fontId="19" fillId="0" borderId="6" xfId="0" applyFont="1" applyBorder="1" applyAlignment="1">
      <alignment vertical="center"/>
    </xf>
    <xf numFmtId="171" fontId="19" fillId="0" borderId="40" xfId="6" applyNumberFormat="1" applyFont="1" applyBorder="1" applyAlignment="1">
      <alignment vertical="center"/>
    </xf>
    <xf numFmtId="171" fontId="19" fillId="0" borderId="7" xfId="6" applyNumberFormat="1" applyFont="1" applyBorder="1" applyAlignment="1">
      <alignment vertical="center"/>
    </xf>
    <xf numFmtId="171" fontId="20" fillId="0" borderId="0" xfId="0" applyNumberFormat="1" applyFont="1"/>
    <xf numFmtId="172" fontId="19" fillId="0" borderId="5" xfId="5" applyNumberFormat="1" applyFont="1" applyBorder="1" applyAlignment="1">
      <alignment vertical="center"/>
    </xf>
    <xf numFmtId="9" fontId="20" fillId="0" borderId="0" xfId="2" applyFont="1"/>
    <xf numFmtId="9" fontId="19" fillId="0" borderId="0" xfId="2" applyFont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71" fontId="19" fillId="0" borderId="0" xfId="6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1" fontId="19" fillId="0" borderId="11" xfId="6" applyNumberFormat="1" applyFont="1" applyBorder="1" applyAlignment="1">
      <alignment horizontal="center" vertical="center"/>
    </xf>
    <xf numFmtId="171" fontId="19" fillId="0" borderId="3" xfId="6" applyNumberFormat="1" applyFont="1" applyBorder="1" applyAlignment="1">
      <alignment horizontal="center" vertical="center"/>
    </xf>
  </cellXfs>
  <cellStyles count="7">
    <cellStyle name="Comma 2" xfId="3" xr:uid="{442A8262-9DC2-4307-9076-6767C71A91DC}"/>
    <cellStyle name="Milliers" xfId="5" builtinId="3"/>
    <cellStyle name="Milliers [0]" xfId="1" builtinId="6"/>
    <cellStyle name="Milliers [0] 2" xfId="4" xr:uid="{7E81B21E-861E-4CA8-92B2-02B0E97657A9}"/>
    <cellStyle name="Milliers 2" xfId="6" xr:uid="{789BAC15-BAC4-4770-BE64-288806766D08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D626-24DE-41AE-9EA5-DFB0B5143008}">
  <sheetPr>
    <tabColor rgb="FF00B050"/>
    <pageSetUpPr fitToPage="1"/>
  </sheetPr>
  <dimension ref="A1:AL131"/>
  <sheetViews>
    <sheetView tabSelected="1" view="pageBreakPreview" zoomScale="50" zoomScaleNormal="50" zoomScaleSheetLayoutView="50" workbookViewId="0">
      <pane xSplit="8" ySplit="13" topLeftCell="Q14" activePane="bottomRight" state="frozen"/>
      <selection pane="topRight" activeCell="I1" sqref="I1"/>
      <selection pane="bottomLeft" activeCell="A14" sqref="A14"/>
      <selection pane="bottomRight" activeCell="O124" sqref="O124"/>
    </sheetView>
  </sheetViews>
  <sheetFormatPr baseColWidth="10" defaultColWidth="9.1796875" defaultRowHeight="13" x14ac:dyDescent="0.35"/>
  <cols>
    <col min="1" max="1" width="66" style="1" customWidth="1"/>
    <col min="2" max="2" width="13.81640625" style="2" hidden="1" customWidth="1"/>
    <col min="3" max="3" width="13.81640625" style="1" hidden="1" customWidth="1"/>
    <col min="4" max="5" width="13.81640625" style="3" customWidth="1"/>
    <col min="6" max="7" width="17.81640625" style="3" customWidth="1"/>
    <col min="8" max="8" width="25.36328125" style="3" customWidth="1"/>
    <col min="9" max="9" width="20.90625" style="2" customWidth="1"/>
    <col min="10" max="10" width="20.90625" style="1" customWidth="1"/>
    <col min="11" max="11" width="20.90625" style="3" customWidth="1"/>
    <col min="12" max="12" width="20.90625" style="1" customWidth="1"/>
    <col min="13" max="14" width="20.81640625" style="1" bestFit="1" customWidth="1"/>
    <col min="15" max="15" width="19.54296875" style="1" bestFit="1" customWidth="1"/>
    <col min="16" max="23" width="17.90625" style="1" customWidth="1"/>
    <col min="24" max="24" width="19.90625" style="1" customWidth="1"/>
    <col min="25" max="25" width="17.90625" style="1" customWidth="1"/>
    <col min="26" max="26" width="49.26953125" style="1" customWidth="1"/>
    <col min="27" max="29" width="20.1796875" style="1" customWidth="1"/>
    <col min="30" max="35" width="20.1796875" style="1" hidden="1" customWidth="1"/>
    <col min="36" max="36" width="20.1796875" style="1" customWidth="1"/>
    <col min="37" max="37" width="20.1796875" style="1" hidden="1" customWidth="1"/>
    <col min="38" max="38" width="14.7265625" style="6" hidden="1" customWidth="1"/>
    <col min="39" max="16384" width="9.1796875" style="1"/>
  </cols>
  <sheetData>
    <row r="1" spans="1:38" x14ac:dyDescent="0.35">
      <c r="J1" s="5"/>
    </row>
    <row r="2" spans="1:38" ht="33" customHeight="1" x14ac:dyDescent="0.35">
      <c r="A2" s="29" t="s">
        <v>67</v>
      </c>
      <c r="B2" s="7"/>
      <c r="C2" s="7"/>
      <c r="E2" s="8"/>
      <c r="F2" s="4"/>
      <c r="G2" s="4"/>
      <c r="H2" s="4"/>
      <c r="I2" s="8"/>
      <c r="J2" s="8"/>
      <c r="K2" s="7"/>
      <c r="L2" s="9"/>
      <c r="M2" s="9"/>
      <c r="N2" s="118" t="s">
        <v>0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8" ht="13.5" thickBot="1" x14ac:dyDescent="0.4">
      <c r="A3" s="7"/>
      <c r="B3" s="7"/>
      <c r="C3" s="7"/>
      <c r="E3" s="8"/>
      <c r="F3" s="4"/>
      <c r="G3" s="4"/>
      <c r="H3" s="4"/>
      <c r="K3" s="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8" x14ac:dyDescent="0.3">
      <c r="A4" s="10" t="s">
        <v>0</v>
      </c>
      <c r="B4" s="7"/>
      <c r="C4" s="7"/>
      <c r="D4" s="11" t="s">
        <v>1</v>
      </c>
      <c r="E4" s="11">
        <f>1600000+450000</f>
        <v>2050000</v>
      </c>
      <c r="F4" s="11">
        <f>E4*655.957</f>
        <v>1344711850</v>
      </c>
      <c r="G4" s="11"/>
      <c r="H4" s="12">
        <v>1</v>
      </c>
      <c r="I4" s="13" t="s">
        <v>2</v>
      </c>
      <c r="J4" s="14">
        <f>1600000/E4</f>
        <v>0.78048780487804881</v>
      </c>
      <c r="K4" s="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8" x14ac:dyDescent="0.35">
      <c r="A5" s="7"/>
      <c r="B5" s="7"/>
      <c r="C5" s="7"/>
      <c r="D5" s="11" t="s">
        <v>3</v>
      </c>
      <c r="E5" s="11">
        <f>E51</f>
        <v>4000</v>
      </c>
      <c r="F5" s="11">
        <f>F51</f>
        <v>2623828</v>
      </c>
      <c r="G5" s="11"/>
      <c r="H5" s="12">
        <f>+E5/E4</f>
        <v>1.9512195121951219E-3</v>
      </c>
      <c r="I5" s="16" t="s">
        <v>4</v>
      </c>
      <c r="J5" s="17">
        <f>450000/E4</f>
        <v>0.21951219512195122</v>
      </c>
      <c r="K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8" ht="13.5" thickBot="1" x14ac:dyDescent="0.4">
      <c r="A6" s="7"/>
      <c r="B6" s="7"/>
      <c r="C6" s="7"/>
      <c r="D6" s="11" t="s">
        <v>5</v>
      </c>
      <c r="E6" s="11">
        <f>F6/655.957</f>
        <v>685365</v>
      </c>
      <c r="F6" s="11">
        <f>F45</f>
        <v>449569969.30500001</v>
      </c>
      <c r="G6" s="11"/>
      <c r="H6" s="12">
        <f>+E6/E4</f>
        <v>0.33432439024390243</v>
      </c>
      <c r="I6" s="18" t="s">
        <v>6</v>
      </c>
      <c r="J6" s="19">
        <f>SUM(J4:J5)</f>
        <v>1</v>
      </c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8" x14ac:dyDescent="0.35">
      <c r="A7" s="7"/>
      <c r="B7" s="4" t="s">
        <v>0</v>
      </c>
      <c r="C7" s="7"/>
      <c r="D7" s="11" t="s">
        <v>7</v>
      </c>
      <c r="E7" s="11">
        <f>E55</f>
        <v>20000</v>
      </c>
      <c r="F7" s="11">
        <f>F55</f>
        <v>13119140</v>
      </c>
      <c r="G7" s="11"/>
      <c r="H7" s="36">
        <f>E7/E54</f>
        <v>1.25</v>
      </c>
      <c r="J7" s="8"/>
      <c r="K7" s="2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8" x14ac:dyDescent="0.35">
      <c r="A8" s="7"/>
      <c r="B8" s="7"/>
      <c r="C8" s="7"/>
      <c r="D8" s="11"/>
      <c r="E8" s="21"/>
      <c r="F8" s="22" t="s">
        <v>8</v>
      </c>
      <c r="G8" s="22"/>
      <c r="H8" s="30">
        <v>8.2173741318337198E-2</v>
      </c>
      <c r="I8" s="2" t="s">
        <v>0</v>
      </c>
      <c r="J8" s="8"/>
      <c r="K8" s="7"/>
      <c r="L8" s="9"/>
      <c r="M8" s="9" t="s">
        <v>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8" x14ac:dyDescent="0.35">
      <c r="A9" s="7"/>
      <c r="B9" s="4"/>
      <c r="C9" s="7"/>
      <c r="E9" s="8"/>
      <c r="F9" s="4"/>
      <c r="G9" s="4"/>
      <c r="H9" s="120">
        <v>655.95699999999999</v>
      </c>
      <c r="I9" s="8"/>
      <c r="J9" s="8"/>
      <c r="K9" s="7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pans="1:38" ht="13.5" thickBot="1" x14ac:dyDescent="0.4"/>
    <row r="11" spans="1:38" s="98" customFormat="1" ht="41.5" customHeight="1" x14ac:dyDescent="0.35">
      <c r="A11" s="117" t="s">
        <v>9</v>
      </c>
      <c r="B11" s="231" t="s">
        <v>10</v>
      </c>
      <c r="C11" s="232"/>
      <c r="D11" s="232"/>
      <c r="E11" s="232"/>
      <c r="F11" s="233"/>
      <c r="G11" s="229" t="s">
        <v>68</v>
      </c>
      <c r="H11" s="230"/>
      <c r="I11" s="234" t="s">
        <v>126</v>
      </c>
      <c r="J11" s="235"/>
      <c r="K11" s="234" t="s">
        <v>125</v>
      </c>
      <c r="L11" s="235"/>
      <c r="M11" s="234" t="s">
        <v>130</v>
      </c>
      <c r="N11" s="235"/>
      <c r="O11" s="234" t="s">
        <v>69</v>
      </c>
      <c r="P11" s="235"/>
      <c r="Q11" s="234" t="s">
        <v>127</v>
      </c>
      <c r="R11" s="235"/>
      <c r="S11" s="234" t="s">
        <v>129</v>
      </c>
      <c r="T11" s="235"/>
      <c r="U11" s="234" t="s">
        <v>137</v>
      </c>
      <c r="V11" s="235"/>
      <c r="W11" s="171" t="s">
        <v>138</v>
      </c>
      <c r="X11" s="234" t="s">
        <v>128</v>
      </c>
      <c r="Y11" s="235"/>
      <c r="Z11" s="227" t="s">
        <v>11</v>
      </c>
    </row>
    <row r="12" spans="1:38" ht="58" customHeight="1" thickBot="1" x14ac:dyDescent="0.4">
      <c r="A12" s="99" t="s">
        <v>12</v>
      </c>
      <c r="B12" s="105" t="s">
        <v>13</v>
      </c>
      <c r="C12" s="23" t="s">
        <v>14</v>
      </c>
      <c r="D12" s="24" t="s">
        <v>15</v>
      </c>
      <c r="E12" s="24" t="s">
        <v>16</v>
      </c>
      <c r="F12" s="46" t="s">
        <v>17</v>
      </c>
      <c r="G12" s="45" t="s">
        <v>19</v>
      </c>
      <c r="H12" s="46" t="s">
        <v>66</v>
      </c>
      <c r="I12" s="45" t="s">
        <v>19</v>
      </c>
      <c r="J12" s="46" t="s">
        <v>20</v>
      </c>
      <c r="K12" s="45" t="s">
        <v>19</v>
      </c>
      <c r="L12" s="46" t="s">
        <v>20</v>
      </c>
      <c r="M12" s="45" t="s">
        <v>19</v>
      </c>
      <c r="N12" s="46" t="s">
        <v>20</v>
      </c>
      <c r="O12" s="45" t="s">
        <v>19</v>
      </c>
      <c r="P12" s="46" t="s">
        <v>20</v>
      </c>
      <c r="Q12" s="45" t="s">
        <v>19</v>
      </c>
      <c r="R12" s="46" t="s">
        <v>20</v>
      </c>
      <c r="S12" s="45" t="s">
        <v>19</v>
      </c>
      <c r="T12" s="46" t="s">
        <v>20</v>
      </c>
      <c r="U12" s="45" t="s">
        <v>19</v>
      </c>
      <c r="V12" s="46" t="s">
        <v>20</v>
      </c>
      <c r="W12" s="45" t="s">
        <v>139</v>
      </c>
      <c r="X12" s="45" t="s">
        <v>19</v>
      </c>
      <c r="Y12" s="46" t="s">
        <v>20</v>
      </c>
      <c r="Z12" s="228"/>
      <c r="AL12" s="1"/>
    </row>
    <row r="13" spans="1:38" ht="15" customHeight="1" x14ac:dyDescent="0.35">
      <c r="A13" s="100" t="s">
        <v>18</v>
      </c>
      <c r="B13" s="106"/>
      <c r="C13" s="80"/>
      <c r="D13" s="81"/>
      <c r="E13" s="82"/>
      <c r="F13" s="84"/>
      <c r="G13" s="83"/>
      <c r="H13" s="84"/>
      <c r="I13" s="47"/>
      <c r="J13" s="32"/>
      <c r="K13" s="47"/>
      <c r="L13" s="32"/>
      <c r="M13" s="67"/>
      <c r="N13" s="68"/>
      <c r="O13" s="73"/>
      <c r="P13" s="74"/>
      <c r="Q13" s="73"/>
      <c r="R13" s="74"/>
      <c r="S13" s="73"/>
      <c r="T13" s="74"/>
      <c r="U13" s="73"/>
      <c r="V13" s="74"/>
      <c r="W13" s="73"/>
      <c r="X13" s="73"/>
      <c r="Y13" s="74"/>
      <c r="Z13" s="75"/>
      <c r="AL13" s="1"/>
    </row>
    <row r="14" spans="1:38" ht="15" customHeight="1" x14ac:dyDescent="0.35">
      <c r="A14" s="101" t="s">
        <v>21</v>
      </c>
      <c r="B14" s="106"/>
      <c r="C14" s="80"/>
      <c r="D14" s="81"/>
      <c r="E14" s="82"/>
      <c r="F14" s="84"/>
      <c r="G14" s="83"/>
      <c r="H14" s="84"/>
      <c r="I14" s="47"/>
      <c r="J14" s="32"/>
      <c r="K14" s="47"/>
      <c r="L14" s="32"/>
      <c r="M14" s="67"/>
      <c r="N14" s="68"/>
      <c r="O14" s="73"/>
      <c r="P14" s="74"/>
      <c r="Q14" s="73"/>
      <c r="R14" s="74"/>
      <c r="S14" s="73"/>
      <c r="T14" s="74"/>
      <c r="U14" s="73"/>
      <c r="V14" s="74"/>
      <c r="W14" s="73"/>
      <c r="X14" s="73"/>
      <c r="Y14" s="74"/>
      <c r="Z14" s="76"/>
      <c r="AL14" s="1"/>
    </row>
    <row r="15" spans="1:38" ht="15" customHeight="1" x14ac:dyDescent="0.35">
      <c r="A15" s="102" t="s">
        <v>22</v>
      </c>
      <c r="B15" s="107" t="s">
        <v>23</v>
      </c>
      <c r="C15" s="86">
        <v>48</v>
      </c>
      <c r="D15" s="81">
        <f>2900*0.3</f>
        <v>870</v>
      </c>
      <c r="E15" s="81">
        <f t="shared" ref="E15:E25" si="0">C15*D15</f>
        <v>41760</v>
      </c>
      <c r="F15" s="88">
        <f t="shared" ref="F15:F26" si="1">+E15*655.957</f>
        <v>27392764.32</v>
      </c>
      <c r="G15" s="87">
        <f t="shared" ref="G15:G25" si="2">+H15*655.957</f>
        <v>27392764.32</v>
      </c>
      <c r="H15" s="88">
        <f>E15</f>
        <v>41760</v>
      </c>
      <c r="I15" s="59">
        <v>5136143</v>
      </c>
      <c r="J15" s="33">
        <f t="shared" ref="J15:J25" si="3">+I15/655.957</f>
        <v>7829.9995274080466</v>
      </c>
      <c r="K15" s="60">
        <v>6628446</v>
      </c>
      <c r="L15" s="61">
        <f t="shared" ref="L15:L25" si="4">+K15/655.957</f>
        <v>10105.000785112439</v>
      </c>
      <c r="M15" s="121">
        <v>6848196</v>
      </c>
      <c r="N15" s="119">
        <f t="shared" ref="N15:N22" si="5">+M15/655.957</f>
        <v>10440.007500491649</v>
      </c>
      <c r="O15" s="73">
        <f>I15+K15+M15</f>
        <v>18612785</v>
      </c>
      <c r="P15" s="74">
        <f>+O15/655.957</f>
        <v>28375.007813012133</v>
      </c>
      <c r="Q15" s="73">
        <v>8750466</v>
      </c>
      <c r="R15" s="74">
        <f>+Q15/655.957</f>
        <v>13339.999420693735</v>
      </c>
      <c r="S15" s="73">
        <v>8750471</v>
      </c>
      <c r="T15" s="74">
        <f>+S15/655.957</f>
        <v>13340.007043144597</v>
      </c>
      <c r="U15" s="73">
        <f>Q15-S15</f>
        <v>-5</v>
      </c>
      <c r="V15" s="74">
        <f>+U15/655.957</f>
        <v>-7.6224508618705188E-3</v>
      </c>
      <c r="W15" s="194">
        <f>S15/Q15</f>
        <v>1.0000005713981404</v>
      </c>
      <c r="X15" s="73">
        <f t="shared" ref="X15:X25" si="6">+O15+S15</f>
        <v>27363256</v>
      </c>
      <c r="Y15" s="74">
        <f>+X15/655.957</f>
        <v>41715.014856156733</v>
      </c>
      <c r="Z15" s="78"/>
      <c r="AL15" s="1"/>
    </row>
    <row r="16" spans="1:38" ht="15" customHeight="1" x14ac:dyDescent="0.35">
      <c r="A16" s="102" t="s">
        <v>24</v>
      </c>
      <c r="B16" s="107" t="s">
        <v>23</v>
      </c>
      <c r="C16" s="89">
        <v>48</v>
      </c>
      <c r="D16" s="81">
        <f>2650*0.5</f>
        <v>1325</v>
      </c>
      <c r="E16" s="81">
        <f t="shared" si="0"/>
        <v>63600</v>
      </c>
      <c r="F16" s="88">
        <f t="shared" si="1"/>
        <v>41718865.200000003</v>
      </c>
      <c r="G16" s="87">
        <f t="shared" si="2"/>
        <v>41718865.200000003</v>
      </c>
      <c r="H16" s="88">
        <f>E16</f>
        <v>63600</v>
      </c>
      <c r="I16" s="59">
        <v>7743783</v>
      </c>
      <c r="J16" s="33">
        <f t="shared" si="3"/>
        <v>11805.321080497655</v>
      </c>
      <c r="K16" s="60">
        <v>10429716</v>
      </c>
      <c r="L16" s="61">
        <f t="shared" si="4"/>
        <v>15899.999542652948</v>
      </c>
      <c r="M16" s="67">
        <v>10429716.300000001</v>
      </c>
      <c r="N16" s="119">
        <f t="shared" si="5"/>
        <v>15900.000000000002</v>
      </c>
      <c r="O16" s="73">
        <f t="shared" ref="O16:O25" si="7">I16+K16+M16</f>
        <v>28603215.300000001</v>
      </c>
      <c r="P16" s="74">
        <f t="shared" ref="P16:P25" si="8">+O16/655.957</f>
        <v>43605.320623150605</v>
      </c>
      <c r="Q16" s="74">
        <v>10429716</v>
      </c>
      <c r="R16" s="74">
        <f t="shared" ref="R16:R25" si="9">+Q16/655.957</f>
        <v>15899.999542652948</v>
      </c>
      <c r="S16" s="73">
        <v>10429716</v>
      </c>
      <c r="T16" s="74">
        <f t="shared" ref="T16:T25" si="10">+S16/655.957</f>
        <v>15899.999542652948</v>
      </c>
      <c r="U16" s="73">
        <f t="shared" ref="U16:U25" si="11">Q16-S16</f>
        <v>0</v>
      </c>
      <c r="V16" s="74">
        <f t="shared" ref="V16:V25" si="12">+U16/655.957</f>
        <v>0</v>
      </c>
      <c r="W16" s="194">
        <f t="shared" ref="W16:W25" si="13">S16/Q16</f>
        <v>1</v>
      </c>
      <c r="X16" s="73">
        <f t="shared" si="6"/>
        <v>39032931.299999997</v>
      </c>
      <c r="Y16" s="74">
        <f t="shared" ref="Y16:Y25" si="14">+X16/655.957</f>
        <v>59505.320165803547</v>
      </c>
      <c r="Z16" s="78"/>
      <c r="AL16" s="1"/>
    </row>
    <row r="17" spans="1:38" ht="15" customHeight="1" x14ac:dyDescent="0.35">
      <c r="A17" s="102" t="s">
        <v>25</v>
      </c>
      <c r="B17" s="107" t="s">
        <v>23</v>
      </c>
      <c r="C17" s="89">
        <v>48</v>
      </c>
      <c r="D17" s="81">
        <v>2200</v>
      </c>
      <c r="E17" s="81">
        <f t="shared" si="0"/>
        <v>105600</v>
      </c>
      <c r="F17" s="88">
        <f t="shared" si="1"/>
        <v>69269059.200000003</v>
      </c>
      <c r="G17" s="87">
        <f t="shared" si="2"/>
        <v>34634529.600000001</v>
      </c>
      <c r="H17" s="88">
        <v>52800</v>
      </c>
      <c r="I17" s="59">
        <v>8380800</v>
      </c>
      <c r="J17" s="33">
        <f t="shared" si="3"/>
        <v>12776.44723663289</v>
      </c>
      <c r="K17" s="60">
        <v>16761600</v>
      </c>
      <c r="L17" s="61">
        <f t="shared" si="4"/>
        <v>25552.89447326578</v>
      </c>
      <c r="M17" s="67">
        <v>16761600</v>
      </c>
      <c r="N17" s="119">
        <f t="shared" si="5"/>
        <v>25552.89447326578</v>
      </c>
      <c r="O17" s="73">
        <f t="shared" si="7"/>
        <v>41904000</v>
      </c>
      <c r="P17" s="74">
        <f t="shared" si="8"/>
        <v>63882.236183164445</v>
      </c>
      <c r="Q17" s="74">
        <v>17317265</v>
      </c>
      <c r="R17" s="74">
        <f t="shared" si="9"/>
        <v>26400.000304898036</v>
      </c>
      <c r="S17" s="73">
        <v>18863128</v>
      </c>
      <c r="T17" s="74">
        <f t="shared" si="10"/>
        <v>28756.653256234786</v>
      </c>
      <c r="U17" s="73">
        <f t="shared" si="11"/>
        <v>-1545863</v>
      </c>
      <c r="V17" s="74">
        <f t="shared" si="12"/>
        <v>-2356.6529513367491</v>
      </c>
      <c r="W17" s="194">
        <f t="shared" si="13"/>
        <v>1.0892671562166427</v>
      </c>
      <c r="X17" s="73">
        <f t="shared" si="6"/>
        <v>60767128</v>
      </c>
      <c r="Y17" s="74">
        <f t="shared" si="14"/>
        <v>92638.889439399223</v>
      </c>
      <c r="Z17" s="78"/>
      <c r="AL17" s="1"/>
    </row>
    <row r="18" spans="1:38" ht="15" customHeight="1" x14ac:dyDescent="0.35">
      <c r="A18" s="102" t="s">
        <v>26</v>
      </c>
      <c r="B18" s="107" t="s">
        <v>23</v>
      </c>
      <c r="C18" s="89">
        <v>48</v>
      </c>
      <c r="D18" s="81">
        <v>900</v>
      </c>
      <c r="E18" s="81">
        <f t="shared" si="0"/>
        <v>43200</v>
      </c>
      <c r="F18" s="88">
        <f t="shared" si="1"/>
        <v>28337342.399999999</v>
      </c>
      <c r="G18" s="87">
        <f t="shared" si="2"/>
        <v>14168671.199999999</v>
      </c>
      <c r="H18" s="88">
        <v>21600</v>
      </c>
      <c r="I18" s="59">
        <v>3651674</v>
      </c>
      <c r="J18" s="33">
        <f t="shared" si="3"/>
        <v>5566.9411257140328</v>
      </c>
      <c r="K18" s="60">
        <v>4131018</v>
      </c>
      <c r="L18" s="61">
        <f t="shared" si="4"/>
        <v>6297.6963429005255</v>
      </c>
      <c r="M18" s="67">
        <v>5900000</v>
      </c>
      <c r="N18" s="119">
        <f t="shared" si="5"/>
        <v>8994.4920170072128</v>
      </c>
      <c r="O18" s="73">
        <f t="shared" si="7"/>
        <v>13682692</v>
      </c>
      <c r="P18" s="74">
        <f t="shared" si="8"/>
        <v>20859.129485621772</v>
      </c>
      <c r="Q18" s="73">
        <v>6297187</v>
      </c>
      <c r="R18" s="74">
        <f t="shared" si="9"/>
        <v>9599.9996951019657</v>
      </c>
      <c r="S18" s="73">
        <v>6750000</v>
      </c>
      <c r="T18" s="74">
        <f t="shared" si="10"/>
        <v>10290.3086635252</v>
      </c>
      <c r="U18" s="73">
        <f t="shared" si="11"/>
        <v>-452813</v>
      </c>
      <c r="V18" s="74">
        <f t="shared" si="12"/>
        <v>-690.30896842323511</v>
      </c>
      <c r="W18" s="194">
        <f t="shared" si="13"/>
        <v>1.0719071864945411</v>
      </c>
      <c r="X18" s="73">
        <f t="shared" si="6"/>
        <v>20432692</v>
      </c>
      <c r="Y18" s="74">
        <f t="shared" si="14"/>
        <v>31149.438149146972</v>
      </c>
      <c r="Z18" s="78"/>
      <c r="AL18" s="1"/>
    </row>
    <row r="19" spans="1:38" ht="15" customHeight="1" x14ac:dyDescent="0.35">
      <c r="A19" s="102" t="s">
        <v>27</v>
      </c>
      <c r="B19" s="107" t="s">
        <v>23</v>
      </c>
      <c r="C19" s="89">
        <v>48</v>
      </c>
      <c r="D19" s="81">
        <v>600</v>
      </c>
      <c r="E19" s="81">
        <f t="shared" si="0"/>
        <v>28800</v>
      </c>
      <c r="F19" s="88">
        <f t="shared" si="1"/>
        <v>18891561.600000001</v>
      </c>
      <c r="G19" s="87">
        <f t="shared" si="2"/>
        <v>18891561.600000001</v>
      </c>
      <c r="H19" s="88">
        <f>E19</f>
        <v>28800</v>
      </c>
      <c r="I19" s="59">
        <v>2360592</v>
      </c>
      <c r="J19" s="33">
        <f t="shared" si="3"/>
        <v>3598.6993049849302</v>
      </c>
      <c r="K19" s="60">
        <v>2360610</v>
      </c>
      <c r="L19" s="61">
        <f t="shared" si="4"/>
        <v>3598.7267458080332</v>
      </c>
      <c r="M19" s="67">
        <v>4721184</v>
      </c>
      <c r="N19" s="119">
        <f t="shared" si="5"/>
        <v>7197.3986099698604</v>
      </c>
      <c r="O19" s="73">
        <f t="shared" si="7"/>
        <v>9442386</v>
      </c>
      <c r="P19" s="74">
        <f t="shared" si="8"/>
        <v>14394.824660762824</v>
      </c>
      <c r="Q19" s="73">
        <v>4722890</v>
      </c>
      <c r="R19" s="74">
        <f t="shared" si="9"/>
        <v>7199.9993902039314</v>
      </c>
      <c r="S19" s="73">
        <v>4883424</v>
      </c>
      <c r="T19" s="74">
        <f t="shared" si="10"/>
        <v>7444.7318955358351</v>
      </c>
      <c r="U19" s="73">
        <f t="shared" si="11"/>
        <v>-160534</v>
      </c>
      <c r="V19" s="74">
        <f t="shared" si="12"/>
        <v>-244.73250533190438</v>
      </c>
      <c r="W19" s="194">
        <f t="shared" si="13"/>
        <v>1.0339906286193412</v>
      </c>
      <c r="X19" s="73">
        <f t="shared" si="6"/>
        <v>14325810</v>
      </c>
      <c r="Y19" s="74">
        <f t="shared" si="14"/>
        <v>21839.556556298659</v>
      </c>
      <c r="Z19" s="78"/>
      <c r="AL19" s="1"/>
    </row>
    <row r="20" spans="1:38" ht="15" customHeight="1" x14ac:dyDescent="0.35">
      <c r="A20" s="102" t="s">
        <v>28</v>
      </c>
      <c r="B20" s="107" t="s">
        <v>23</v>
      </c>
      <c r="C20" s="89">
        <v>48</v>
      </c>
      <c r="D20" s="81">
        <f>2200*0.5</f>
        <v>1100</v>
      </c>
      <c r="E20" s="81">
        <f t="shared" si="0"/>
        <v>52800</v>
      </c>
      <c r="F20" s="88">
        <f t="shared" si="1"/>
        <v>34634529.600000001</v>
      </c>
      <c r="G20" s="87">
        <f t="shared" si="2"/>
        <v>34634529.600000001</v>
      </c>
      <c r="H20" s="88">
        <f>E20</f>
        <v>52800</v>
      </c>
      <c r="I20" s="59">
        <v>6429020</v>
      </c>
      <c r="J20" s="33">
        <f t="shared" si="3"/>
        <v>9800.9778079965618</v>
      </c>
      <c r="K20" s="60">
        <v>8658600</v>
      </c>
      <c r="L20" s="61">
        <f t="shared" si="4"/>
        <v>13199.950606518416</v>
      </c>
      <c r="M20" s="67">
        <v>8658606</v>
      </c>
      <c r="N20" s="119">
        <f t="shared" si="5"/>
        <v>13199.959753459449</v>
      </c>
      <c r="O20" s="73">
        <f t="shared" si="7"/>
        <v>23746226</v>
      </c>
      <c r="P20" s="74">
        <f t="shared" si="8"/>
        <v>36200.888167974423</v>
      </c>
      <c r="Q20" s="73"/>
      <c r="R20" s="74">
        <f t="shared" si="9"/>
        <v>0</v>
      </c>
      <c r="S20" s="73"/>
      <c r="T20" s="74">
        <f t="shared" si="10"/>
        <v>0</v>
      </c>
      <c r="U20" s="73">
        <f t="shared" si="11"/>
        <v>0</v>
      </c>
      <c r="V20" s="74">
        <f t="shared" si="12"/>
        <v>0</v>
      </c>
      <c r="W20" s="194" t="e">
        <f t="shared" si="13"/>
        <v>#DIV/0!</v>
      </c>
      <c r="X20" s="73">
        <f t="shared" si="6"/>
        <v>23746226</v>
      </c>
      <c r="Y20" s="74">
        <f t="shared" si="14"/>
        <v>36200.888167974423</v>
      </c>
      <c r="Z20" s="78"/>
      <c r="AL20" s="1"/>
    </row>
    <row r="21" spans="1:38" ht="15" customHeight="1" x14ac:dyDescent="0.35">
      <c r="A21" s="102" t="s">
        <v>29</v>
      </c>
      <c r="B21" s="107" t="s">
        <v>23</v>
      </c>
      <c r="C21" s="89">
        <v>48</v>
      </c>
      <c r="D21" s="81">
        <v>350</v>
      </c>
      <c r="E21" s="81">
        <f t="shared" si="0"/>
        <v>16800</v>
      </c>
      <c r="F21" s="88">
        <f t="shared" si="1"/>
        <v>11020077.6</v>
      </c>
      <c r="G21" s="87">
        <f t="shared" si="2"/>
        <v>11020077.6</v>
      </c>
      <c r="H21" s="88">
        <f>E21</f>
        <v>16800</v>
      </c>
      <c r="I21" s="59">
        <v>918000</v>
      </c>
      <c r="J21" s="33">
        <f t="shared" si="3"/>
        <v>1399.4819782394272</v>
      </c>
      <c r="K21" s="60">
        <v>2095200</v>
      </c>
      <c r="L21" s="61">
        <f t="shared" si="4"/>
        <v>3194.1118091582225</v>
      </c>
      <c r="M21" s="67">
        <v>2095200</v>
      </c>
      <c r="N21" s="119">
        <f t="shared" si="5"/>
        <v>3194.1118091582225</v>
      </c>
      <c r="O21" s="73">
        <f t="shared" si="7"/>
        <v>5108400</v>
      </c>
      <c r="P21" s="74">
        <f t="shared" si="8"/>
        <v>7787.705596555872</v>
      </c>
      <c r="Q21" s="73">
        <v>2755019</v>
      </c>
      <c r="R21" s="74">
        <f t="shared" si="9"/>
        <v>4199.9993902039314</v>
      </c>
      <c r="S21" s="73">
        <v>2251946</v>
      </c>
      <c r="T21" s="74">
        <f t="shared" si="10"/>
        <v>3433.0695457171737</v>
      </c>
      <c r="U21" s="73">
        <f t="shared" si="11"/>
        <v>503073</v>
      </c>
      <c r="V21" s="74">
        <f t="shared" si="12"/>
        <v>766.92984448675747</v>
      </c>
      <c r="W21" s="194">
        <f t="shared" si="13"/>
        <v>0.81739762956262729</v>
      </c>
      <c r="X21" s="73">
        <f t="shared" si="6"/>
        <v>7360346</v>
      </c>
      <c r="Y21" s="74">
        <f t="shared" si="14"/>
        <v>11220.775142273045</v>
      </c>
      <c r="Z21" s="78"/>
      <c r="AL21" s="1"/>
    </row>
    <row r="22" spans="1:38" ht="15" customHeight="1" x14ac:dyDescent="0.35">
      <c r="A22" s="102" t="s">
        <v>30</v>
      </c>
      <c r="B22" s="107" t="s">
        <v>23</v>
      </c>
      <c r="C22" s="89">
        <v>48</v>
      </c>
      <c r="D22" s="81">
        <v>310</v>
      </c>
      <c r="E22" s="81">
        <f t="shared" si="0"/>
        <v>14880</v>
      </c>
      <c r="F22" s="88">
        <f t="shared" si="1"/>
        <v>9760640.1600000001</v>
      </c>
      <c r="G22" s="87">
        <f t="shared" si="2"/>
        <v>4880320.08</v>
      </c>
      <c r="H22" s="88">
        <v>7440</v>
      </c>
      <c r="I22" s="59">
        <v>818430</v>
      </c>
      <c r="J22" s="33">
        <f t="shared" si="3"/>
        <v>1247.6884917761379</v>
      </c>
      <c r="K22" s="60">
        <v>1809630</v>
      </c>
      <c r="L22" s="61">
        <f t="shared" si="4"/>
        <v>2758.7631506333496</v>
      </c>
      <c r="M22" s="67">
        <v>1982400</v>
      </c>
      <c r="N22" s="119">
        <f t="shared" si="5"/>
        <v>3022.1493177144234</v>
      </c>
      <c r="O22" s="73">
        <f t="shared" si="7"/>
        <v>4610460</v>
      </c>
      <c r="P22" s="74">
        <f t="shared" si="8"/>
        <v>7028.6009601239102</v>
      </c>
      <c r="Q22" s="73">
        <v>2440160</v>
      </c>
      <c r="R22" s="74">
        <f t="shared" si="9"/>
        <v>3719.999939020393</v>
      </c>
      <c r="S22" s="73">
        <v>1486200</v>
      </c>
      <c r="T22" s="74">
        <f t="shared" si="10"/>
        <v>2265.6972941823929</v>
      </c>
      <c r="U22" s="73">
        <f t="shared" si="11"/>
        <v>953960</v>
      </c>
      <c r="V22" s="74">
        <f t="shared" si="12"/>
        <v>1454.3026448380001</v>
      </c>
      <c r="W22" s="194">
        <f t="shared" si="13"/>
        <v>0.60905842239853125</v>
      </c>
      <c r="X22" s="73">
        <f t="shared" si="6"/>
        <v>6096660</v>
      </c>
      <c r="Y22" s="74">
        <f t="shared" si="14"/>
        <v>9294.2982543063044</v>
      </c>
      <c r="Z22" s="78"/>
      <c r="AL22" s="1"/>
    </row>
    <row r="23" spans="1:38" ht="15" customHeight="1" x14ac:dyDescent="0.35">
      <c r="A23" s="102" t="s">
        <v>31</v>
      </c>
      <c r="B23" s="107" t="s">
        <v>32</v>
      </c>
      <c r="C23" s="89">
        <f>2*12*4</f>
        <v>96</v>
      </c>
      <c r="D23" s="81">
        <f>8*60</f>
        <v>480</v>
      </c>
      <c r="E23" s="81">
        <f t="shared" si="0"/>
        <v>46080</v>
      </c>
      <c r="F23" s="88">
        <f t="shared" si="1"/>
        <v>30226498.559999999</v>
      </c>
      <c r="G23" s="87">
        <f t="shared" si="2"/>
        <v>30226498.559999999</v>
      </c>
      <c r="H23" s="88">
        <f>E23</f>
        <v>46080</v>
      </c>
      <c r="I23" s="59">
        <v>1626773</v>
      </c>
      <c r="J23" s="33">
        <f t="shared" si="3"/>
        <v>2479.999451183538</v>
      </c>
      <c r="K23" s="60">
        <v>7438552.3799999999</v>
      </c>
      <c r="L23" s="61">
        <f t="shared" si="4"/>
        <v>11340</v>
      </c>
      <c r="M23" s="67">
        <v>10429716.300000001</v>
      </c>
      <c r="N23" s="119">
        <v>15900</v>
      </c>
      <c r="O23" s="73">
        <f t="shared" si="7"/>
        <v>19495041.68</v>
      </c>
      <c r="P23" s="74">
        <f t="shared" si="8"/>
        <v>29719.999451183539</v>
      </c>
      <c r="Q23" s="73">
        <v>7556625</v>
      </c>
      <c r="R23" s="74">
        <f t="shared" si="9"/>
        <v>11520.000548816462</v>
      </c>
      <c r="S23" s="73">
        <v>7285255.2291000001</v>
      </c>
      <c r="T23" s="74">
        <f t="shared" si="10"/>
        <v>11106.300000000001</v>
      </c>
      <c r="U23" s="73">
        <f t="shared" si="11"/>
        <v>271369.77089999989</v>
      </c>
      <c r="V23" s="74">
        <f t="shared" si="12"/>
        <v>413.70054881646189</v>
      </c>
      <c r="W23" s="194">
        <f t="shared" si="13"/>
        <v>0.96408849573718425</v>
      </c>
      <c r="X23" s="73">
        <f t="shared" si="6"/>
        <v>26780296.9091</v>
      </c>
      <c r="Y23" s="74">
        <f t="shared" si="14"/>
        <v>40826.299451183535</v>
      </c>
      <c r="Z23" s="78"/>
      <c r="AL23" s="1"/>
    </row>
    <row r="24" spans="1:38" x14ac:dyDescent="0.35">
      <c r="A24" s="102" t="s">
        <v>33</v>
      </c>
      <c r="B24" s="107" t="s">
        <v>32</v>
      </c>
      <c r="C24" s="89">
        <f>2.5*12*4</f>
        <v>120</v>
      </c>
      <c r="D24" s="81">
        <f>8*62</f>
        <v>496</v>
      </c>
      <c r="E24" s="81">
        <f t="shared" si="0"/>
        <v>59520</v>
      </c>
      <c r="F24" s="88">
        <f t="shared" si="1"/>
        <v>39042560.640000001</v>
      </c>
      <c r="G24" s="87">
        <f t="shared" si="2"/>
        <v>39042560.640000001</v>
      </c>
      <c r="H24" s="88">
        <f>E24</f>
        <v>59520</v>
      </c>
      <c r="I24" s="59">
        <v>7035795</v>
      </c>
      <c r="J24" s="33">
        <f t="shared" si="3"/>
        <v>10726.000332338857</v>
      </c>
      <c r="K24" s="60">
        <v>9353946.8200000003</v>
      </c>
      <c r="L24" s="61">
        <f t="shared" si="4"/>
        <v>14260</v>
      </c>
      <c r="M24" s="67">
        <v>7944754.3968999991</v>
      </c>
      <c r="N24" s="119">
        <v>12111.699999999999</v>
      </c>
      <c r="O24" s="73">
        <f t="shared" si="7"/>
        <v>24334496.216899998</v>
      </c>
      <c r="P24" s="74">
        <f t="shared" si="8"/>
        <v>37097.700332338856</v>
      </c>
      <c r="Q24" s="73">
        <v>7157803</v>
      </c>
      <c r="R24" s="74">
        <f t="shared" si="9"/>
        <v>10912.000329289878</v>
      </c>
      <c r="S24" s="73">
        <v>6984170.9660999998</v>
      </c>
      <c r="T24" s="74">
        <f t="shared" si="10"/>
        <v>10647.3</v>
      </c>
      <c r="U24" s="73">
        <f t="shared" si="11"/>
        <v>173632.03390000015</v>
      </c>
      <c r="V24" s="74">
        <f t="shared" si="12"/>
        <v>264.70032928987746</v>
      </c>
      <c r="W24" s="194">
        <f>S24/Q24</f>
        <v>0.97574227260794966</v>
      </c>
      <c r="X24" s="73">
        <f t="shared" si="6"/>
        <v>31318667.182999998</v>
      </c>
      <c r="Y24" s="74">
        <f t="shared" si="14"/>
        <v>47745.000332338852</v>
      </c>
      <c r="Z24" s="78"/>
      <c r="AL24" s="1"/>
    </row>
    <row r="25" spans="1:38" ht="15" customHeight="1" x14ac:dyDescent="0.35">
      <c r="A25" s="102" t="s">
        <v>34</v>
      </c>
      <c r="B25" s="107" t="s">
        <v>32</v>
      </c>
      <c r="C25" s="89">
        <f>1*12*4</f>
        <v>48</v>
      </c>
      <c r="D25" s="81">
        <f>8*62</f>
        <v>496</v>
      </c>
      <c r="E25" s="81">
        <f t="shared" si="0"/>
        <v>23808</v>
      </c>
      <c r="F25" s="88">
        <f t="shared" si="1"/>
        <v>15617024.255999999</v>
      </c>
      <c r="G25" s="87">
        <f t="shared" si="2"/>
        <v>15617024.255999999</v>
      </c>
      <c r="H25" s="88">
        <f>E25</f>
        <v>23808</v>
      </c>
      <c r="I25" s="59">
        <v>3660240</v>
      </c>
      <c r="J25" s="33">
        <f t="shared" si="3"/>
        <v>5579.9999085305899</v>
      </c>
      <c r="K25" s="60">
        <v>5032830.0824999996</v>
      </c>
      <c r="L25" s="61">
        <f t="shared" si="4"/>
        <v>7672.4999999999991</v>
      </c>
      <c r="M25" s="67">
        <v>2846853.38</v>
      </c>
      <c r="N25" s="119">
        <v>4340</v>
      </c>
      <c r="O25" s="73">
        <f t="shared" si="7"/>
        <v>11539923.462499999</v>
      </c>
      <c r="P25" s="74">
        <f t="shared" si="8"/>
        <v>17592.499908530586</v>
      </c>
      <c r="Q25" s="73">
        <v>2277483.5</v>
      </c>
      <c r="R25" s="74">
        <f t="shared" si="9"/>
        <v>3472.0012134941771</v>
      </c>
      <c r="S25" s="73">
        <v>2217160.8982800003</v>
      </c>
      <c r="T25" s="74">
        <f t="shared" si="10"/>
        <v>3380.0400000000004</v>
      </c>
      <c r="U25" s="73">
        <f t="shared" si="11"/>
        <v>60322.601719999686</v>
      </c>
      <c r="V25" s="74">
        <f t="shared" si="12"/>
        <v>91.961213494176732</v>
      </c>
      <c r="W25" s="194">
        <f t="shared" si="13"/>
        <v>0.97351348463336851</v>
      </c>
      <c r="X25" s="73">
        <f t="shared" si="6"/>
        <v>13757084.360779999</v>
      </c>
      <c r="Y25" s="74">
        <f t="shared" si="14"/>
        <v>20972.539908530587</v>
      </c>
      <c r="Z25" s="78"/>
      <c r="AL25" s="1"/>
    </row>
    <row r="26" spans="1:38" ht="15" customHeight="1" x14ac:dyDescent="0.35">
      <c r="A26" s="103" t="s">
        <v>35</v>
      </c>
      <c r="B26" s="34"/>
      <c r="C26" s="25"/>
      <c r="D26" s="26"/>
      <c r="E26" s="27">
        <f>SUM(E15:E25)</f>
        <v>496848</v>
      </c>
      <c r="F26" s="35">
        <f t="shared" si="1"/>
        <v>325910923.53600001</v>
      </c>
      <c r="G26" s="49">
        <f t="shared" ref="G26:L26" si="15">SUM(G15:G25)</f>
        <v>272227402.65600002</v>
      </c>
      <c r="H26" s="35">
        <f t="shared" si="15"/>
        <v>415008</v>
      </c>
      <c r="I26" s="49">
        <f t="shared" si="15"/>
        <v>47761250</v>
      </c>
      <c r="J26" s="35">
        <f t="shared" si="15"/>
        <v>72811.556245302665</v>
      </c>
      <c r="K26" s="62">
        <f t="shared" si="15"/>
        <v>74700149.282499999</v>
      </c>
      <c r="L26" s="63">
        <f t="shared" si="15"/>
        <v>113879.64345604971</v>
      </c>
      <c r="M26" s="49">
        <f>SUM(M15:M25)</f>
        <v>78618226.376899987</v>
      </c>
      <c r="N26" s="35">
        <f t="shared" ref="N26:O26" si="16">SUM(N15:N25)</f>
        <v>119852.7134810666</v>
      </c>
      <c r="O26" s="49">
        <f t="shared" si="16"/>
        <v>201079625.65940002</v>
      </c>
      <c r="P26" s="35">
        <f>SUM(P15:P25)</f>
        <v>306543.91318241891</v>
      </c>
      <c r="Q26" s="35">
        <f>SUM(Q15:Q25)</f>
        <v>69704614.5</v>
      </c>
      <c r="R26" s="35">
        <f t="shared" ref="R26:Y26" si="17">SUM(R15:R25)</f>
        <v>106263.99977437545</v>
      </c>
      <c r="S26" s="35">
        <f>SUM(S15:S25)</f>
        <v>69901472.093479991</v>
      </c>
      <c r="T26" s="35">
        <f>SUM(T15:T25)</f>
        <v>106564.10724099292</v>
      </c>
      <c r="U26" s="35">
        <f t="shared" ref="U26:V26" si="18">SUM(U15:U25)</f>
        <v>-196857.59348000027</v>
      </c>
      <c r="V26" s="35">
        <f t="shared" si="18"/>
        <v>-300.10746661747737</v>
      </c>
      <c r="W26" s="196">
        <f>+S26/Q26</f>
        <v>1.0028241687425155</v>
      </c>
      <c r="X26" s="35">
        <f t="shared" si="17"/>
        <v>270981097.75287998</v>
      </c>
      <c r="Y26" s="35">
        <f t="shared" si="17"/>
        <v>413108.02042341192</v>
      </c>
      <c r="Z26" s="77"/>
      <c r="AL26" s="1"/>
    </row>
    <row r="27" spans="1:38" ht="15" customHeight="1" x14ac:dyDescent="0.35">
      <c r="A27" s="100" t="s">
        <v>36</v>
      </c>
      <c r="B27" s="106"/>
      <c r="C27" s="80"/>
      <c r="D27" s="81"/>
      <c r="E27" s="82"/>
      <c r="F27" s="88"/>
      <c r="G27" s="87"/>
      <c r="H27" s="88"/>
      <c r="I27" s="48"/>
      <c r="J27" s="33"/>
      <c r="K27" s="60"/>
      <c r="L27" s="61"/>
      <c r="M27" s="69"/>
      <c r="N27" s="68"/>
      <c r="O27" s="73"/>
      <c r="P27" s="74"/>
      <c r="Q27" s="73"/>
      <c r="R27" s="74"/>
      <c r="S27" s="73"/>
      <c r="T27" s="74"/>
      <c r="U27" s="73"/>
      <c r="V27" s="74"/>
      <c r="W27" s="73"/>
      <c r="X27" s="73"/>
      <c r="Y27" s="74"/>
      <c r="Z27" s="78"/>
      <c r="AL27" s="1"/>
    </row>
    <row r="28" spans="1:38" ht="15" customHeight="1" x14ac:dyDescent="0.35">
      <c r="A28" s="102" t="s">
        <v>37</v>
      </c>
      <c r="B28" s="107" t="s">
        <v>13</v>
      </c>
      <c r="C28" s="89">
        <v>1</v>
      </c>
      <c r="D28" s="81">
        <v>59277</v>
      </c>
      <c r="E28" s="81">
        <f>C28*D28</f>
        <v>59277</v>
      </c>
      <c r="F28" s="88">
        <f t="shared" ref="F28:F34" si="19">+E28*655.957</f>
        <v>38883163.089000002</v>
      </c>
      <c r="G28" s="87">
        <f>+H28*655.957</f>
        <v>38883163.089000002</v>
      </c>
      <c r="H28" s="88">
        <f>+E28</f>
        <v>59277</v>
      </c>
      <c r="I28" s="60">
        <v>33853154</v>
      </c>
      <c r="J28" s="33">
        <f>+I28/655.957</f>
        <v>51608.800576867085</v>
      </c>
      <c r="K28" s="60">
        <v>0</v>
      </c>
      <c r="L28" s="61">
        <f>+K28/655.957</f>
        <v>0</v>
      </c>
      <c r="M28" s="67">
        <v>0</v>
      </c>
      <c r="N28" s="70">
        <f>+M28/655.957</f>
        <v>0</v>
      </c>
      <c r="O28" s="73">
        <f t="shared" ref="O28:O30" si="20">I28+K28+M28</f>
        <v>33853154</v>
      </c>
      <c r="P28" s="74">
        <f t="shared" ref="P28:P30" si="21">+O28/655.957</f>
        <v>51608.800576867085</v>
      </c>
      <c r="Q28" s="73"/>
      <c r="R28" s="74"/>
      <c r="S28" s="73"/>
      <c r="T28" s="74">
        <f t="shared" ref="T28:T30" si="22">+S28/655.957</f>
        <v>0</v>
      </c>
      <c r="U28" s="73"/>
      <c r="V28" s="74">
        <f t="shared" ref="V28:V30" si="23">+U28/655.957</f>
        <v>0</v>
      </c>
      <c r="W28" s="73"/>
      <c r="X28" s="73">
        <f>+O28+S28</f>
        <v>33853154</v>
      </c>
      <c r="Y28" s="74">
        <f t="shared" ref="Y28:Y30" si="24">+X28/655.957</f>
        <v>51608.800576867085</v>
      </c>
      <c r="Z28" s="78" t="s">
        <v>0</v>
      </c>
      <c r="AL28" s="1"/>
    </row>
    <row r="29" spans="1:38" ht="15" customHeight="1" x14ac:dyDescent="0.35">
      <c r="A29" s="102" t="s">
        <v>38</v>
      </c>
      <c r="B29" s="107" t="s">
        <v>23</v>
      </c>
      <c r="C29" s="89">
        <v>48</v>
      </c>
      <c r="D29" s="81">
        <v>100</v>
      </c>
      <c r="E29" s="81">
        <f>C29*D29</f>
        <v>4800</v>
      </c>
      <c r="F29" s="88">
        <f t="shared" si="19"/>
        <v>3148593.6</v>
      </c>
      <c r="G29" s="87">
        <f>+H29*655.957</f>
        <v>3148593.6</v>
      </c>
      <c r="H29" s="88">
        <f>E29</f>
        <v>4800</v>
      </c>
      <c r="I29" s="60"/>
      <c r="J29" s="33">
        <f>+I29/655.957</f>
        <v>0</v>
      </c>
      <c r="K29" s="60">
        <v>759947</v>
      </c>
      <c r="L29" s="61">
        <f>+K29/655.957</f>
        <v>1158.531733025183</v>
      </c>
      <c r="M29" s="67">
        <v>715067</v>
      </c>
      <c r="N29" s="70">
        <f>+M29/655.957</f>
        <v>1090.1126140890333</v>
      </c>
      <c r="O29" s="73">
        <f t="shared" si="20"/>
        <v>1475014</v>
      </c>
      <c r="P29" s="74">
        <f t="shared" si="21"/>
        <v>2248.6443471142165</v>
      </c>
      <c r="Q29" s="73">
        <v>787148</v>
      </c>
      <c r="R29" s="74">
        <f t="shared" ref="R29:R30" si="25">+Q29/655.957</f>
        <v>1199.9993902039312</v>
      </c>
      <c r="S29" s="73">
        <v>798384</v>
      </c>
      <c r="T29" s="74">
        <f t="shared" si="22"/>
        <v>1217.1285617807264</v>
      </c>
      <c r="U29" s="73">
        <f t="shared" ref="U29:U30" si="26">Q29-S29</f>
        <v>-11236</v>
      </c>
      <c r="V29" s="74">
        <f t="shared" si="23"/>
        <v>-17.129171576795429</v>
      </c>
      <c r="W29" s="194">
        <f t="shared" ref="W29:W30" si="27">S29/Q29</f>
        <v>1.0142743169010149</v>
      </c>
      <c r="X29" s="73">
        <f>+O29+S29</f>
        <v>2273398</v>
      </c>
      <c r="Y29" s="74">
        <f t="shared" si="24"/>
        <v>3465.7729088949427</v>
      </c>
      <c r="Z29" s="78"/>
      <c r="AL29" s="1"/>
    </row>
    <row r="30" spans="1:38" ht="15" customHeight="1" x14ac:dyDescent="0.35">
      <c r="A30" s="102" t="s">
        <v>39</v>
      </c>
      <c r="B30" s="107" t="s">
        <v>23</v>
      </c>
      <c r="C30" s="89">
        <v>48</v>
      </c>
      <c r="D30" s="81">
        <v>130</v>
      </c>
      <c r="E30" s="81">
        <f>C30*D30</f>
        <v>6240</v>
      </c>
      <c r="F30" s="88">
        <f t="shared" si="19"/>
        <v>4093171.68</v>
      </c>
      <c r="G30" s="87">
        <f>+H30*655.957</f>
        <v>4093171.68</v>
      </c>
      <c r="H30" s="88">
        <f>E30</f>
        <v>6240</v>
      </c>
      <c r="I30" s="60">
        <v>367246</v>
      </c>
      <c r="J30" s="33">
        <f>+I30/655.957</f>
        <v>559.86291784370007</v>
      </c>
      <c r="K30" s="60">
        <v>997600</v>
      </c>
      <c r="L30" s="61">
        <f>+K30/655.957</f>
        <v>1520.8313959604059</v>
      </c>
      <c r="M30" s="67">
        <v>966200</v>
      </c>
      <c r="N30" s="70">
        <f>+M30/655.957</f>
        <v>1472.962404547859</v>
      </c>
      <c r="O30" s="73">
        <f t="shared" si="20"/>
        <v>2331046</v>
      </c>
      <c r="P30" s="74">
        <f t="shared" si="21"/>
        <v>3553.6567183519651</v>
      </c>
      <c r="Q30" s="73">
        <v>1023293</v>
      </c>
      <c r="R30" s="74">
        <f t="shared" si="25"/>
        <v>1560.0001219592139</v>
      </c>
      <c r="S30" s="73">
        <v>700000</v>
      </c>
      <c r="T30" s="74">
        <f t="shared" si="22"/>
        <v>1067.1431206618727</v>
      </c>
      <c r="U30" s="73">
        <f t="shared" si="26"/>
        <v>323293</v>
      </c>
      <c r="V30" s="74">
        <f t="shared" si="23"/>
        <v>492.85700129734113</v>
      </c>
      <c r="W30" s="194">
        <f t="shared" si="27"/>
        <v>0.68406604950879168</v>
      </c>
      <c r="X30" s="73">
        <f>+O30+S30</f>
        <v>3031046</v>
      </c>
      <c r="Y30" s="74">
        <f t="shared" si="24"/>
        <v>4620.7998390138382</v>
      </c>
      <c r="Z30" s="78"/>
      <c r="AL30" s="1"/>
    </row>
    <row r="31" spans="1:38" ht="15" customHeight="1" x14ac:dyDescent="0.35">
      <c r="A31" s="103" t="s">
        <v>40</v>
      </c>
      <c r="B31" s="34"/>
      <c r="C31" s="25"/>
      <c r="D31" s="26"/>
      <c r="E31" s="27">
        <f>SUM(E28:E30)</f>
        <v>70317</v>
      </c>
      <c r="F31" s="35">
        <f t="shared" si="19"/>
        <v>46124928.369000003</v>
      </c>
      <c r="G31" s="49">
        <f t="shared" ref="G31:H31" si="28">SUM(G28:G30)</f>
        <v>46124928.369000003</v>
      </c>
      <c r="H31" s="35">
        <f t="shared" si="28"/>
        <v>70317</v>
      </c>
      <c r="I31" s="49">
        <f t="shared" ref="I31:N31" si="29">SUM(I28:I30)</f>
        <v>34220400</v>
      </c>
      <c r="J31" s="35">
        <f t="shared" si="29"/>
        <v>52168.663494710781</v>
      </c>
      <c r="K31" s="64">
        <f t="shared" si="29"/>
        <v>1757547</v>
      </c>
      <c r="L31" s="65">
        <f t="shared" si="29"/>
        <v>2679.3631289855889</v>
      </c>
      <c r="M31" s="64">
        <f t="shared" si="29"/>
        <v>1681267</v>
      </c>
      <c r="N31" s="65">
        <f t="shared" si="29"/>
        <v>2563.0750186368923</v>
      </c>
      <c r="O31" s="64">
        <f t="shared" ref="O31" si="30">SUM(O28:O30)</f>
        <v>37659214</v>
      </c>
      <c r="P31" s="65">
        <f>SUM(P28:P30)</f>
        <v>57411.101642333269</v>
      </c>
      <c r="Q31" s="65">
        <f t="shared" ref="Q31:Y31" si="31">SUM(Q28:Q30)</f>
        <v>1810441</v>
      </c>
      <c r="R31" s="65">
        <f t="shared" si="31"/>
        <v>2759.999512163145</v>
      </c>
      <c r="S31" s="35">
        <f t="shared" si="31"/>
        <v>1498384</v>
      </c>
      <c r="T31" s="65">
        <f t="shared" si="31"/>
        <v>2284.2716824425988</v>
      </c>
      <c r="U31" s="65">
        <f t="shared" ref="U31:V31" si="32">SUM(U28:U30)</f>
        <v>312057</v>
      </c>
      <c r="V31" s="65">
        <f t="shared" si="32"/>
        <v>475.72782972054569</v>
      </c>
      <c r="W31" s="196">
        <f>+S31/Q31</f>
        <v>0.82763481383817539</v>
      </c>
      <c r="X31" s="65">
        <f t="shared" si="31"/>
        <v>39157598</v>
      </c>
      <c r="Y31" s="65">
        <f t="shared" si="31"/>
        <v>59695.373324775865</v>
      </c>
      <c r="Z31" s="77"/>
      <c r="AL31" s="1"/>
    </row>
    <row r="32" spans="1:38" ht="15" customHeight="1" x14ac:dyDescent="0.35">
      <c r="A32" s="100" t="s">
        <v>41</v>
      </c>
      <c r="B32" s="106"/>
      <c r="C32" s="80"/>
      <c r="D32" s="81"/>
      <c r="E32" s="82"/>
      <c r="F32" s="88">
        <f t="shared" si="19"/>
        <v>0</v>
      </c>
      <c r="G32" s="87"/>
      <c r="H32" s="88"/>
      <c r="I32" s="48"/>
      <c r="J32" s="33"/>
      <c r="K32" s="60"/>
      <c r="L32" s="61"/>
      <c r="M32" s="69"/>
      <c r="N32" s="68"/>
      <c r="O32" s="73"/>
      <c r="P32" s="74"/>
      <c r="Q32" s="73"/>
      <c r="R32" s="74"/>
      <c r="S32" s="73"/>
      <c r="T32" s="74"/>
      <c r="U32" s="73"/>
      <c r="V32" s="74"/>
      <c r="W32" s="73"/>
      <c r="X32" s="73"/>
      <c r="Y32" s="74"/>
      <c r="Z32" s="78"/>
      <c r="AL32" s="1"/>
    </row>
    <row r="33" spans="1:38" ht="25.5" customHeight="1" x14ac:dyDescent="0.35">
      <c r="A33" s="102" t="s">
        <v>42</v>
      </c>
      <c r="B33" s="107" t="s">
        <v>43</v>
      </c>
      <c r="C33" s="89">
        <v>4</v>
      </c>
      <c r="D33" s="81">
        <v>1200</v>
      </c>
      <c r="E33" s="81">
        <f>C33*D33</f>
        <v>4800</v>
      </c>
      <c r="F33" s="88">
        <f t="shared" si="19"/>
        <v>3148593.6</v>
      </c>
      <c r="G33" s="87">
        <f>+H33*655.957</f>
        <v>1574296.8</v>
      </c>
      <c r="H33" s="88">
        <v>2400</v>
      </c>
      <c r="I33" s="60">
        <v>3472797</v>
      </c>
      <c r="J33" s="33">
        <f>+I33/655.957</f>
        <v>5294.2448971502708</v>
      </c>
      <c r="K33" s="60">
        <v>0</v>
      </c>
      <c r="L33" s="61">
        <v>0</v>
      </c>
      <c r="M33" s="69">
        <v>0</v>
      </c>
      <c r="N33" s="68">
        <f>+M33/655.957</f>
        <v>0</v>
      </c>
      <c r="O33" s="73">
        <f t="shared" ref="O33:O34" si="33">I33+K33+M33</f>
        <v>3472797</v>
      </c>
      <c r="P33" s="74">
        <f t="shared" ref="P33:P34" si="34">+O33/655.957</f>
        <v>5294.2448971502708</v>
      </c>
      <c r="Q33" s="73"/>
      <c r="R33" s="74">
        <f t="shared" ref="R33:R34" si="35">+Q33/655.957</f>
        <v>0</v>
      </c>
      <c r="S33" s="73"/>
      <c r="T33" s="74">
        <f t="shared" ref="T33:T34" si="36">+S33/655.957</f>
        <v>0</v>
      </c>
      <c r="U33" s="73"/>
      <c r="V33" s="74">
        <f t="shared" ref="V33:V34" si="37">+U33/655.957</f>
        <v>0</v>
      </c>
      <c r="W33" s="73"/>
      <c r="X33" s="73">
        <f>+O33+S33</f>
        <v>3472797</v>
      </c>
      <c r="Y33" s="74">
        <f t="shared" ref="Y33:Y34" si="38">+X33/655.957</f>
        <v>5294.2448971502708</v>
      </c>
      <c r="Z33" s="78"/>
      <c r="AL33" s="1"/>
    </row>
    <row r="34" spans="1:38" ht="15" customHeight="1" x14ac:dyDescent="0.35">
      <c r="A34" s="102" t="s">
        <v>44</v>
      </c>
      <c r="B34" s="107" t="s">
        <v>13</v>
      </c>
      <c r="C34" s="89">
        <v>2</v>
      </c>
      <c r="D34" s="81">
        <v>500</v>
      </c>
      <c r="E34" s="81">
        <f>C34*D34</f>
        <v>1000</v>
      </c>
      <c r="F34" s="88">
        <f t="shared" si="19"/>
        <v>655957</v>
      </c>
      <c r="G34" s="87">
        <f>+H34*655.957</f>
        <v>327978.5</v>
      </c>
      <c r="H34" s="88">
        <f>D34*1</f>
        <v>500</v>
      </c>
      <c r="I34" s="60">
        <v>651360</v>
      </c>
      <c r="J34" s="33">
        <f>+I34/655.957</f>
        <v>992.99191867759623</v>
      </c>
      <c r="K34" s="60"/>
      <c r="L34" s="61"/>
      <c r="M34" s="69">
        <v>0</v>
      </c>
      <c r="N34" s="68">
        <f>+M34/655.957</f>
        <v>0</v>
      </c>
      <c r="O34" s="73">
        <f t="shared" si="33"/>
        <v>651360</v>
      </c>
      <c r="P34" s="74">
        <f t="shared" si="34"/>
        <v>992.99191867759623</v>
      </c>
      <c r="Q34" s="73"/>
      <c r="R34" s="74">
        <f t="shared" si="35"/>
        <v>0</v>
      </c>
      <c r="S34" s="73"/>
      <c r="T34" s="74">
        <f t="shared" si="36"/>
        <v>0</v>
      </c>
      <c r="U34" s="73"/>
      <c r="V34" s="74">
        <f t="shared" si="37"/>
        <v>0</v>
      </c>
      <c r="W34" s="73"/>
      <c r="X34" s="73">
        <f>+O34+S34</f>
        <v>651360</v>
      </c>
      <c r="Y34" s="74">
        <f t="shared" si="38"/>
        <v>992.99191867759623</v>
      </c>
      <c r="Z34" s="78"/>
      <c r="AL34" s="1"/>
    </row>
    <row r="35" spans="1:38" ht="15" customHeight="1" x14ac:dyDescent="0.35">
      <c r="A35" s="103" t="s">
        <v>45</v>
      </c>
      <c r="B35" s="34"/>
      <c r="C35" s="25"/>
      <c r="D35" s="26"/>
      <c r="E35" s="27">
        <f>SUM(E33:E34)</f>
        <v>5800</v>
      </c>
      <c r="F35" s="35">
        <f>E35*655.957</f>
        <v>3804550.6</v>
      </c>
      <c r="G35" s="49">
        <f t="shared" ref="G35:L35" si="39">SUM(G33:G34)</f>
        <v>1902275.3</v>
      </c>
      <c r="H35" s="35">
        <f t="shared" si="39"/>
        <v>2900</v>
      </c>
      <c r="I35" s="49">
        <f t="shared" si="39"/>
        <v>4124157</v>
      </c>
      <c r="J35" s="35">
        <f t="shared" si="39"/>
        <v>6287.2368158278668</v>
      </c>
      <c r="K35" s="64">
        <f t="shared" si="39"/>
        <v>0</v>
      </c>
      <c r="L35" s="65">
        <f t="shared" si="39"/>
        <v>0</v>
      </c>
      <c r="M35" s="64">
        <f t="shared" ref="M35:Y35" si="40">SUM(M33:M34)</f>
        <v>0</v>
      </c>
      <c r="N35" s="65">
        <f t="shared" si="40"/>
        <v>0</v>
      </c>
      <c r="O35" s="64">
        <f t="shared" si="40"/>
        <v>4124157</v>
      </c>
      <c r="P35" s="65">
        <f t="shared" si="40"/>
        <v>6287.2368158278668</v>
      </c>
      <c r="Q35" s="65">
        <f t="shared" si="40"/>
        <v>0</v>
      </c>
      <c r="R35" s="65">
        <f t="shared" si="40"/>
        <v>0</v>
      </c>
      <c r="S35" s="65">
        <f t="shared" si="40"/>
        <v>0</v>
      </c>
      <c r="T35" s="65">
        <f t="shared" si="40"/>
        <v>0</v>
      </c>
      <c r="U35" s="65">
        <f t="shared" ref="U35:W35" si="41">SUM(U33:U34)</f>
        <v>0</v>
      </c>
      <c r="V35" s="65">
        <f t="shared" si="41"/>
        <v>0</v>
      </c>
      <c r="W35" s="65">
        <f t="shared" si="41"/>
        <v>0</v>
      </c>
      <c r="X35" s="65">
        <f t="shared" si="40"/>
        <v>4124157</v>
      </c>
      <c r="Y35" s="65">
        <f t="shared" si="40"/>
        <v>6287.2368158278668</v>
      </c>
      <c r="Z35" s="77"/>
      <c r="AL35" s="1"/>
    </row>
    <row r="36" spans="1:38" ht="15" customHeight="1" x14ac:dyDescent="0.35">
      <c r="A36" s="100" t="s">
        <v>46</v>
      </c>
      <c r="B36" s="106" t="s">
        <v>47</v>
      </c>
      <c r="C36" s="80"/>
      <c r="D36" s="81"/>
      <c r="E36" s="82"/>
      <c r="F36" s="88" t="s">
        <v>0</v>
      </c>
      <c r="G36" s="87"/>
      <c r="H36" s="88"/>
      <c r="I36" s="48"/>
      <c r="J36" s="33"/>
      <c r="K36" s="60"/>
      <c r="L36" s="61"/>
      <c r="M36" s="69"/>
      <c r="N36" s="68"/>
      <c r="O36" s="73"/>
      <c r="P36" s="74"/>
      <c r="Q36" s="73"/>
      <c r="R36" s="74"/>
      <c r="S36" s="73"/>
      <c r="T36" s="74"/>
      <c r="U36" s="73"/>
      <c r="V36" s="74"/>
      <c r="W36" s="73"/>
      <c r="X36" s="73"/>
      <c r="Y36" s="74"/>
      <c r="Z36" s="78"/>
      <c r="AL36" s="1"/>
    </row>
    <row r="37" spans="1:38" ht="15" customHeight="1" x14ac:dyDescent="0.35">
      <c r="A37" s="102" t="s">
        <v>48</v>
      </c>
      <c r="B37" s="107" t="s">
        <v>23</v>
      </c>
      <c r="C37" s="89">
        <v>48</v>
      </c>
      <c r="D37" s="81">
        <v>300</v>
      </c>
      <c r="E37" s="81">
        <f t="shared" ref="E37:E43" si="42">C37*D37</f>
        <v>14400</v>
      </c>
      <c r="F37" s="88">
        <f t="shared" ref="F37:F43" si="43">+E37*655.957</f>
        <v>9445780.8000000007</v>
      </c>
      <c r="G37" s="87">
        <f t="shared" ref="G37:G43" si="44">+H37*655.957</f>
        <v>7084335.5999999996</v>
      </c>
      <c r="H37" s="88">
        <v>10800</v>
      </c>
      <c r="I37" s="60">
        <v>1643976</v>
      </c>
      <c r="J37" s="33">
        <f t="shared" ref="J37:J43" si="45">+I37/655.957</f>
        <v>2506.2252556188896</v>
      </c>
      <c r="K37" s="31">
        <v>1180722</v>
      </c>
      <c r="L37" s="61">
        <f t="shared" ref="L37:L43" si="46">+K37/655.957</f>
        <v>1799.9990853058966</v>
      </c>
      <c r="M37" s="67">
        <v>2361444</v>
      </c>
      <c r="N37" s="70">
        <f t="shared" ref="N37:N43" si="47">+M37/655.957</f>
        <v>3599.9981706117933</v>
      </c>
      <c r="O37" s="73">
        <f t="shared" ref="O37:O43" si="48">I37+K37+M37</f>
        <v>5186142</v>
      </c>
      <c r="P37" s="74">
        <f t="shared" ref="P37:P43" si="49">+O37/655.957</f>
        <v>7906.2225115365791</v>
      </c>
      <c r="Q37" s="73">
        <v>2197456</v>
      </c>
      <c r="R37" s="74">
        <f t="shared" ref="R37:R43" si="50">+Q37/655.957</f>
        <v>3350.0000762245086</v>
      </c>
      <c r="S37" s="73">
        <v>2115462</v>
      </c>
      <c r="T37" s="74">
        <f t="shared" ref="T37:T43" si="51">+S37/655.957</f>
        <v>3225.0010290308664</v>
      </c>
      <c r="U37" s="73">
        <f t="shared" ref="U37:U43" si="52">Q37-S37</f>
        <v>81994</v>
      </c>
      <c r="V37" s="74">
        <f t="shared" ref="V37:V43" si="53">+U37/655.957</f>
        <v>124.99904719364227</v>
      </c>
      <c r="W37" s="194">
        <f t="shared" ref="W37:W43" si="54">S37/Q37</f>
        <v>0.96268685243299523</v>
      </c>
      <c r="X37" s="73">
        <f t="shared" ref="X37:X43" si="55">+O37+S37</f>
        <v>7301604</v>
      </c>
      <c r="Y37" s="74">
        <f t="shared" ref="Y37:Y43" si="56">+X37/655.957</f>
        <v>11131.223540567446</v>
      </c>
      <c r="Z37" s="78"/>
      <c r="AL37" s="1"/>
    </row>
    <row r="38" spans="1:38" ht="15" customHeight="1" x14ac:dyDescent="0.35">
      <c r="A38" s="102" t="s">
        <v>49</v>
      </c>
      <c r="B38" s="107" t="s">
        <v>23</v>
      </c>
      <c r="C38" s="89">
        <v>48</v>
      </c>
      <c r="D38" s="81">
        <v>800</v>
      </c>
      <c r="E38" s="81">
        <f t="shared" si="42"/>
        <v>38400</v>
      </c>
      <c r="F38" s="88">
        <f t="shared" si="43"/>
        <v>25188748.800000001</v>
      </c>
      <c r="G38" s="87">
        <f t="shared" si="44"/>
        <v>18891561.600000001</v>
      </c>
      <c r="H38" s="88">
        <v>28800</v>
      </c>
      <c r="I38" s="60">
        <v>4722885</v>
      </c>
      <c r="J38" s="33">
        <f t="shared" si="45"/>
        <v>7199.9917677530693</v>
      </c>
      <c r="K38" s="31">
        <v>3148590</v>
      </c>
      <c r="L38" s="61">
        <f t="shared" si="46"/>
        <v>4799.9945118353799</v>
      </c>
      <c r="M38" s="67">
        <v>6297180</v>
      </c>
      <c r="N38" s="70">
        <f t="shared" si="47"/>
        <v>9599.9890236707597</v>
      </c>
      <c r="O38" s="73">
        <f t="shared" si="48"/>
        <v>14168655</v>
      </c>
      <c r="P38" s="74">
        <f t="shared" si="49"/>
        <v>21599.975303259209</v>
      </c>
      <c r="Q38" s="73">
        <v>6165996</v>
      </c>
      <c r="R38" s="74">
        <f t="shared" si="50"/>
        <v>9400.0003048980343</v>
      </c>
      <c r="S38" s="73">
        <v>6100398</v>
      </c>
      <c r="T38" s="74">
        <f t="shared" si="51"/>
        <v>9299.9967985706389</v>
      </c>
      <c r="U38" s="73">
        <f t="shared" si="52"/>
        <v>65598</v>
      </c>
      <c r="V38" s="74">
        <f t="shared" si="53"/>
        <v>100.00350632739647</v>
      </c>
      <c r="W38" s="194">
        <f t="shared" si="54"/>
        <v>0.98936132945918231</v>
      </c>
      <c r="X38" s="73">
        <f t="shared" si="55"/>
        <v>20269053</v>
      </c>
      <c r="Y38" s="74">
        <f t="shared" si="56"/>
        <v>30899.972101829844</v>
      </c>
      <c r="Z38" s="78"/>
      <c r="AL38" s="1"/>
    </row>
    <row r="39" spans="1:38" ht="15" customHeight="1" x14ac:dyDescent="0.35">
      <c r="A39" s="102" t="s">
        <v>50</v>
      </c>
      <c r="B39" s="107" t="s">
        <v>23</v>
      </c>
      <c r="C39" s="89">
        <v>48</v>
      </c>
      <c r="D39" s="81">
        <v>250</v>
      </c>
      <c r="E39" s="81">
        <f t="shared" si="42"/>
        <v>12000</v>
      </c>
      <c r="F39" s="88">
        <f t="shared" si="43"/>
        <v>7871484</v>
      </c>
      <c r="G39" s="87">
        <f t="shared" si="44"/>
        <v>5903613</v>
      </c>
      <c r="H39" s="88">
        <v>9000</v>
      </c>
      <c r="I39" s="60">
        <v>1475901</v>
      </c>
      <c r="J39" s="33">
        <f t="shared" si="45"/>
        <v>2249.9965698971123</v>
      </c>
      <c r="K39" s="31">
        <v>983934</v>
      </c>
      <c r="L39" s="61">
        <f t="shared" si="46"/>
        <v>1499.9977132647414</v>
      </c>
      <c r="M39" s="67">
        <v>1967868</v>
      </c>
      <c r="N39" s="70">
        <f t="shared" si="47"/>
        <v>2999.9954265294828</v>
      </c>
      <c r="O39" s="73">
        <f t="shared" si="48"/>
        <v>4427703</v>
      </c>
      <c r="P39" s="74">
        <f t="shared" si="49"/>
        <v>6749.9897096913364</v>
      </c>
      <c r="Q39" s="73">
        <v>1967871</v>
      </c>
      <c r="R39" s="74">
        <f t="shared" si="50"/>
        <v>3000</v>
      </c>
      <c r="S39" s="73">
        <v>1967868</v>
      </c>
      <c r="T39" s="74">
        <f t="shared" si="51"/>
        <v>2999.9954265294828</v>
      </c>
      <c r="U39" s="73">
        <f t="shared" si="52"/>
        <v>3</v>
      </c>
      <c r="V39" s="74">
        <f t="shared" si="53"/>
        <v>4.5734705171223116E-3</v>
      </c>
      <c r="W39" s="194">
        <f t="shared" si="54"/>
        <v>0.99999847550982768</v>
      </c>
      <c r="X39" s="73">
        <f t="shared" si="55"/>
        <v>6395571</v>
      </c>
      <c r="Y39" s="74">
        <f t="shared" si="56"/>
        <v>9749.9851362208192</v>
      </c>
      <c r="Z39" s="78"/>
      <c r="AL39" s="1"/>
    </row>
    <row r="40" spans="1:38" ht="15" customHeight="1" x14ac:dyDescent="0.35">
      <c r="A40" s="102" t="s">
        <v>51</v>
      </c>
      <c r="B40" s="107" t="s">
        <v>23</v>
      </c>
      <c r="C40" s="89">
        <v>48</v>
      </c>
      <c r="D40" s="81">
        <v>250</v>
      </c>
      <c r="E40" s="81">
        <f t="shared" si="42"/>
        <v>12000</v>
      </c>
      <c r="F40" s="88">
        <f t="shared" si="43"/>
        <v>7871484</v>
      </c>
      <c r="G40" s="87">
        <f t="shared" si="44"/>
        <v>5903613</v>
      </c>
      <c r="H40" s="88">
        <v>9000</v>
      </c>
      <c r="I40" s="60">
        <v>1475901</v>
      </c>
      <c r="J40" s="33">
        <f t="shared" si="45"/>
        <v>2249.9965698971123</v>
      </c>
      <c r="K40" s="31">
        <v>983934</v>
      </c>
      <c r="L40" s="61">
        <f t="shared" si="46"/>
        <v>1499.9977132647414</v>
      </c>
      <c r="M40" s="67">
        <v>1967868</v>
      </c>
      <c r="N40" s="70">
        <f t="shared" si="47"/>
        <v>2999.9954265294828</v>
      </c>
      <c r="O40" s="73">
        <f t="shared" si="48"/>
        <v>4427703</v>
      </c>
      <c r="P40" s="74">
        <f t="shared" si="49"/>
        <v>6749.9897096913364</v>
      </c>
      <c r="Q40" s="73">
        <v>1967871</v>
      </c>
      <c r="R40" s="74">
        <f t="shared" si="50"/>
        <v>3000</v>
      </c>
      <c r="S40" s="73">
        <v>1967868</v>
      </c>
      <c r="T40" s="74">
        <f t="shared" si="51"/>
        <v>2999.9954265294828</v>
      </c>
      <c r="U40" s="73">
        <f t="shared" si="52"/>
        <v>3</v>
      </c>
      <c r="V40" s="74">
        <f t="shared" si="53"/>
        <v>4.5734705171223116E-3</v>
      </c>
      <c r="W40" s="194">
        <f t="shared" si="54"/>
        <v>0.99999847550982768</v>
      </c>
      <c r="X40" s="73">
        <f t="shared" si="55"/>
        <v>6395571</v>
      </c>
      <c r="Y40" s="74">
        <f t="shared" si="56"/>
        <v>9749.9851362208192</v>
      </c>
      <c r="Z40" s="78"/>
      <c r="AL40" s="1"/>
    </row>
    <row r="41" spans="1:38" ht="15" customHeight="1" x14ac:dyDescent="0.35">
      <c r="A41" s="102" t="s">
        <v>52</v>
      </c>
      <c r="B41" s="107" t="s">
        <v>23</v>
      </c>
      <c r="C41" s="89">
        <v>48</v>
      </c>
      <c r="D41" s="81">
        <v>305</v>
      </c>
      <c r="E41" s="81">
        <f t="shared" si="42"/>
        <v>14640</v>
      </c>
      <c r="F41" s="88">
        <f t="shared" si="43"/>
        <v>9603210.4800000004</v>
      </c>
      <c r="G41" s="87">
        <f t="shared" si="44"/>
        <v>7202407.8600000003</v>
      </c>
      <c r="H41" s="88">
        <v>10980</v>
      </c>
      <c r="I41" s="60">
        <v>3387500</v>
      </c>
      <c r="J41" s="33">
        <f t="shared" si="45"/>
        <v>5164.2104589172768</v>
      </c>
      <c r="K41" s="31">
        <v>1200000</v>
      </c>
      <c r="L41" s="61">
        <f t="shared" si="46"/>
        <v>1829.3882068489245</v>
      </c>
      <c r="M41" s="67">
        <v>2400000</v>
      </c>
      <c r="N41" s="70">
        <f t="shared" si="47"/>
        <v>3658.776413697849</v>
      </c>
      <c r="O41" s="73">
        <f t="shared" si="48"/>
        <v>6987500</v>
      </c>
      <c r="P41" s="74">
        <f t="shared" si="49"/>
        <v>10652.375079464051</v>
      </c>
      <c r="Q41" s="73">
        <v>2400803</v>
      </c>
      <c r="R41" s="74">
        <f t="shared" si="50"/>
        <v>3660.0005793062655</v>
      </c>
      <c r="S41" s="73">
        <v>2400000</v>
      </c>
      <c r="T41" s="74">
        <f t="shared" si="51"/>
        <v>3658.776413697849</v>
      </c>
      <c r="U41" s="73">
        <f t="shared" si="52"/>
        <v>803</v>
      </c>
      <c r="V41" s="74">
        <f t="shared" si="53"/>
        <v>1.2241656084164054</v>
      </c>
      <c r="W41" s="194">
        <f t="shared" si="54"/>
        <v>0.99966552857523083</v>
      </c>
      <c r="X41" s="73">
        <f t="shared" si="55"/>
        <v>9387500</v>
      </c>
      <c r="Y41" s="74">
        <f t="shared" si="56"/>
        <v>14311.1514931619</v>
      </c>
      <c r="Z41" s="78"/>
      <c r="AL41" s="1"/>
    </row>
    <row r="42" spans="1:38" ht="15" customHeight="1" x14ac:dyDescent="0.35">
      <c r="A42" s="104" t="s">
        <v>53</v>
      </c>
      <c r="B42" s="107" t="s">
        <v>54</v>
      </c>
      <c r="C42" s="89">
        <v>4</v>
      </c>
      <c r="D42" s="81">
        <v>5000</v>
      </c>
      <c r="E42" s="81">
        <f t="shared" si="42"/>
        <v>20000</v>
      </c>
      <c r="F42" s="88">
        <f t="shared" si="43"/>
        <v>13119140</v>
      </c>
      <c r="G42" s="87">
        <f t="shared" si="44"/>
        <v>9839355</v>
      </c>
      <c r="H42" s="88">
        <v>15000</v>
      </c>
      <c r="I42" s="60">
        <v>3667500</v>
      </c>
      <c r="J42" s="33">
        <f t="shared" si="45"/>
        <v>5591.0677071820255</v>
      </c>
      <c r="K42" s="31">
        <v>4106335</v>
      </c>
      <c r="L42" s="61">
        <f t="shared" si="46"/>
        <v>6260.0673519758157</v>
      </c>
      <c r="M42" s="67">
        <v>3279000</v>
      </c>
      <c r="N42" s="70">
        <f t="shared" si="47"/>
        <v>4998.8032752146864</v>
      </c>
      <c r="O42" s="73">
        <f t="shared" si="48"/>
        <v>11052835</v>
      </c>
      <c r="P42" s="74">
        <f t="shared" si="49"/>
        <v>16849.938334372528</v>
      </c>
      <c r="Q42" s="73">
        <v>3279785</v>
      </c>
      <c r="R42" s="74">
        <f t="shared" si="50"/>
        <v>5000</v>
      </c>
      <c r="S42" s="73">
        <v>3192600</v>
      </c>
      <c r="T42" s="74">
        <f t="shared" si="51"/>
        <v>4867.0873243215638</v>
      </c>
      <c r="U42" s="73">
        <f t="shared" si="52"/>
        <v>87185</v>
      </c>
      <c r="V42" s="74">
        <f t="shared" si="53"/>
        <v>132.91267567843624</v>
      </c>
      <c r="W42" s="194">
        <f t="shared" si="54"/>
        <v>0.9734174648643128</v>
      </c>
      <c r="X42" s="73">
        <f t="shared" si="55"/>
        <v>14245435</v>
      </c>
      <c r="Y42" s="74">
        <f t="shared" si="56"/>
        <v>21717.025658694092</v>
      </c>
      <c r="Z42" s="78"/>
      <c r="AL42" s="1"/>
    </row>
    <row r="43" spans="1:38" ht="15" customHeight="1" x14ac:dyDescent="0.35">
      <c r="A43" s="102" t="s">
        <v>55</v>
      </c>
      <c r="B43" s="107" t="s">
        <v>23</v>
      </c>
      <c r="C43" s="89">
        <v>48</v>
      </c>
      <c r="D43" s="81">
        <v>20</v>
      </c>
      <c r="E43" s="81">
        <f t="shared" si="42"/>
        <v>960</v>
      </c>
      <c r="F43" s="88">
        <f t="shared" si="43"/>
        <v>629718.72</v>
      </c>
      <c r="G43" s="87">
        <f t="shared" si="44"/>
        <v>472289.04</v>
      </c>
      <c r="H43" s="88">
        <v>720</v>
      </c>
      <c r="I43" s="60">
        <v>86637</v>
      </c>
      <c r="J43" s="33">
        <f t="shared" si="45"/>
        <v>132.07725506397523</v>
      </c>
      <c r="K43" s="31">
        <v>344661</v>
      </c>
      <c r="L43" s="61">
        <f t="shared" si="46"/>
        <v>525.43230730063101</v>
      </c>
      <c r="M43" s="67">
        <v>406500</v>
      </c>
      <c r="N43" s="71">
        <f t="shared" si="47"/>
        <v>619.70525507007324</v>
      </c>
      <c r="O43" s="73">
        <f t="shared" si="48"/>
        <v>837798</v>
      </c>
      <c r="P43" s="74">
        <f t="shared" si="49"/>
        <v>1277.2148174346794</v>
      </c>
      <c r="Q43" s="73">
        <v>393574</v>
      </c>
      <c r="R43" s="74">
        <f t="shared" si="50"/>
        <v>599.99969510196559</v>
      </c>
      <c r="S43" s="73">
        <v>297750</v>
      </c>
      <c r="T43" s="74">
        <f t="shared" si="51"/>
        <v>453.91694882438941</v>
      </c>
      <c r="U43" s="73">
        <f t="shared" si="52"/>
        <v>95824</v>
      </c>
      <c r="V43" s="74">
        <f t="shared" si="53"/>
        <v>146.08274627757612</v>
      </c>
      <c r="W43" s="194">
        <f t="shared" si="54"/>
        <v>0.75652863248080415</v>
      </c>
      <c r="X43" s="73">
        <f t="shared" si="55"/>
        <v>1135548</v>
      </c>
      <c r="Y43" s="74">
        <f t="shared" si="56"/>
        <v>1731.1317662590689</v>
      </c>
      <c r="Z43" s="78"/>
      <c r="AL43" s="1"/>
    </row>
    <row r="44" spans="1:38" ht="15" customHeight="1" x14ac:dyDescent="0.35">
      <c r="A44" s="103" t="s">
        <v>56</v>
      </c>
      <c r="B44" s="34"/>
      <c r="C44" s="25"/>
      <c r="D44" s="26"/>
      <c r="E44" s="27">
        <f>SUM(E37:E43)</f>
        <v>112400</v>
      </c>
      <c r="F44" s="35">
        <f>E44*655.957</f>
        <v>73729566.799999997</v>
      </c>
      <c r="G44" s="49">
        <f t="shared" ref="G44:L44" si="57">SUM(G37:G43)</f>
        <v>55297175.100000001</v>
      </c>
      <c r="H44" s="35">
        <f t="shared" si="57"/>
        <v>84300</v>
      </c>
      <c r="I44" s="49">
        <f t="shared" si="57"/>
        <v>16460300</v>
      </c>
      <c r="J44" s="35">
        <f t="shared" si="57"/>
        <v>25093.565584329459</v>
      </c>
      <c r="K44" s="66">
        <f t="shared" si="57"/>
        <v>11948176</v>
      </c>
      <c r="L44" s="63">
        <f t="shared" si="57"/>
        <v>18214.876889796131</v>
      </c>
      <c r="M44" s="72">
        <f>SUM(M37:M43)</f>
        <v>18679860</v>
      </c>
      <c r="N44" s="35">
        <f>SUM(N37:N43)</f>
        <v>28477.262991324125</v>
      </c>
      <c r="O44" s="72">
        <f t="shared" ref="O44:P44" si="58">SUM(O37:O43)</f>
        <v>47088336</v>
      </c>
      <c r="P44" s="35">
        <f t="shared" si="58"/>
        <v>71785.705465449719</v>
      </c>
      <c r="Q44" s="35">
        <f t="shared" ref="Q44:Y44" si="59">SUM(Q37:Q43)</f>
        <v>18373356</v>
      </c>
      <c r="R44" s="35">
        <f t="shared" si="59"/>
        <v>28010.000655530774</v>
      </c>
      <c r="S44" s="35">
        <f>SUM(S37:S43)</f>
        <v>18041946</v>
      </c>
      <c r="T44" s="35">
        <f t="shared" si="59"/>
        <v>27504.769367504276</v>
      </c>
      <c r="U44" s="35">
        <f t="shared" ref="U44:V44" si="60">SUM(U37:U43)</f>
        <v>331410</v>
      </c>
      <c r="V44" s="35">
        <f t="shared" si="60"/>
        <v>505.23128802650177</v>
      </c>
      <c r="W44" s="196">
        <f>+S44/Q44</f>
        <v>0.98196246782569285</v>
      </c>
      <c r="X44" s="35">
        <f t="shared" si="59"/>
        <v>65130282</v>
      </c>
      <c r="Y44" s="35">
        <f t="shared" si="59"/>
        <v>99290.474832954002</v>
      </c>
      <c r="Z44" s="77"/>
      <c r="AL44" s="1"/>
    </row>
    <row r="45" spans="1:38" ht="15" customHeight="1" x14ac:dyDescent="0.35">
      <c r="A45" s="103" t="s">
        <v>57</v>
      </c>
      <c r="B45" s="34"/>
      <c r="C45" s="25"/>
      <c r="D45" s="26"/>
      <c r="E45" s="27">
        <f>E26+E31+E35+E44</f>
        <v>685365</v>
      </c>
      <c r="F45" s="35">
        <f>+E45*655.957</f>
        <v>449569969.30500001</v>
      </c>
      <c r="G45" s="49">
        <f t="shared" ref="G45:L45" si="61">G26+G31+G35+G44</f>
        <v>375551781.42500007</v>
      </c>
      <c r="H45" s="35">
        <f t="shared" si="61"/>
        <v>572525</v>
      </c>
      <c r="I45" s="49">
        <f t="shared" si="61"/>
        <v>102566107</v>
      </c>
      <c r="J45" s="35">
        <f t="shared" si="61"/>
        <v>156361.02214017077</v>
      </c>
      <c r="K45" s="66">
        <f t="shared" si="61"/>
        <v>88405872.282499999</v>
      </c>
      <c r="L45" s="63">
        <f t="shared" si="61"/>
        <v>134773.88347483144</v>
      </c>
      <c r="M45" s="72">
        <f>M26+M31+M35+M44</f>
        <v>98979353.376899987</v>
      </c>
      <c r="N45" s="35">
        <f>N26+N31+N35+N44</f>
        <v>150893.05149102764</v>
      </c>
      <c r="O45" s="72">
        <f t="shared" ref="O45" si="62">O26+O31+O35+O44</f>
        <v>289951332.65939999</v>
      </c>
      <c r="P45" s="35">
        <f>P26+P31+P35+P44</f>
        <v>442027.95710602973</v>
      </c>
      <c r="Q45" s="35">
        <f t="shared" ref="Q45:Y45" si="63">Q26+Q31+Q35+Q44</f>
        <v>89888411.5</v>
      </c>
      <c r="R45" s="35">
        <f t="shared" si="63"/>
        <v>137033.99994206938</v>
      </c>
      <c r="S45" s="35">
        <f>S26+S31+S35+S44</f>
        <v>89441802.093479991</v>
      </c>
      <c r="T45" s="35">
        <f t="shared" si="63"/>
        <v>136353.1482909398</v>
      </c>
      <c r="U45" s="35">
        <f>U26+U31+U35+U44</f>
        <v>446609.40651999973</v>
      </c>
      <c r="V45" s="35">
        <f>V26+V31+V35+V44</f>
        <v>680.85165112957009</v>
      </c>
      <c r="W45" s="196">
        <f>+S45/Q45</f>
        <v>0.99503151297183612</v>
      </c>
      <c r="X45" s="35">
        <f t="shared" si="63"/>
        <v>379393134.75287998</v>
      </c>
      <c r="Y45" s="35">
        <f t="shared" si="63"/>
        <v>578381.10539696971</v>
      </c>
      <c r="Z45" s="77"/>
      <c r="AL45" s="1"/>
    </row>
    <row r="46" spans="1:38" s="42" customFormat="1" ht="15" customHeight="1" x14ac:dyDescent="0.35">
      <c r="A46" s="113" t="s">
        <v>71</v>
      </c>
      <c r="B46" s="92"/>
      <c r="C46" s="91"/>
      <c r="D46" s="90"/>
      <c r="E46" s="90"/>
      <c r="F46" s="93"/>
      <c r="G46" s="92"/>
      <c r="H46" s="93"/>
      <c r="I46" s="50"/>
      <c r="J46" s="51"/>
      <c r="K46" s="50"/>
      <c r="L46" s="51"/>
      <c r="M46" s="67"/>
      <c r="N46" s="68"/>
      <c r="O46" s="73"/>
      <c r="P46" s="74"/>
      <c r="Q46" s="73"/>
      <c r="R46" s="74"/>
      <c r="S46" s="73"/>
      <c r="T46" s="74"/>
      <c r="U46" s="73"/>
      <c r="V46" s="74"/>
      <c r="W46" s="73"/>
      <c r="X46" s="73"/>
      <c r="Y46" s="74"/>
      <c r="Z46" s="79"/>
    </row>
    <row r="47" spans="1:38" ht="30" customHeight="1" x14ac:dyDescent="0.35">
      <c r="A47" s="102" t="s">
        <v>72</v>
      </c>
      <c r="B47" s="107" t="s">
        <v>73</v>
      </c>
      <c r="C47" s="94">
        <v>1</v>
      </c>
      <c r="D47" s="81">
        <v>9000</v>
      </c>
      <c r="E47" s="81">
        <f t="shared" ref="E47:E60" si="64">C47*D47</f>
        <v>9000</v>
      </c>
      <c r="F47" s="88">
        <f t="shared" ref="F47:F60" si="65">E47*655.957</f>
        <v>5903613</v>
      </c>
      <c r="G47" s="87">
        <f>+H47*655.957</f>
        <v>3935742</v>
      </c>
      <c r="H47" s="88">
        <v>6000</v>
      </c>
      <c r="I47" s="48">
        <v>2985689</v>
      </c>
      <c r="J47" s="33">
        <f>+I47/655.957</f>
        <v>4551.6535382654656</v>
      </c>
      <c r="K47" s="48"/>
      <c r="L47" s="33">
        <f>+K47/655.957</f>
        <v>0</v>
      </c>
      <c r="M47" s="67"/>
      <c r="N47" s="70">
        <f>+M47/655.957</f>
        <v>0</v>
      </c>
      <c r="O47" s="73">
        <f t="shared" ref="O47:O60" si="66">I47+K47+M47</f>
        <v>2985689</v>
      </c>
      <c r="P47" s="74">
        <f t="shared" ref="P47:P60" si="67">+O47/655.957</f>
        <v>4551.6535382654656</v>
      </c>
      <c r="Q47" s="73"/>
      <c r="R47" s="74">
        <f t="shared" ref="R47:R60" si="68">+Q47/655.957</f>
        <v>0</v>
      </c>
      <c r="S47" s="73"/>
      <c r="T47" s="74">
        <f t="shared" ref="T47:T60" si="69">+S47/655.957</f>
        <v>0</v>
      </c>
      <c r="U47" s="73"/>
      <c r="V47" s="74">
        <f t="shared" ref="V47:V60" si="70">+U47/655.957</f>
        <v>0</v>
      </c>
      <c r="W47" s="194" t="e">
        <f t="shared" ref="W47:W60" si="71">S47/Q47</f>
        <v>#DIV/0!</v>
      </c>
      <c r="X47" s="73">
        <f t="shared" ref="X47:X60" si="72">+O47+S47</f>
        <v>2985689</v>
      </c>
      <c r="Y47" s="74">
        <f t="shared" ref="Y47:Y60" si="73">+X47/655.957</f>
        <v>4551.6535382654656</v>
      </c>
      <c r="Z47" s="78"/>
      <c r="AL47" s="1"/>
    </row>
    <row r="48" spans="1:38" ht="30" customHeight="1" x14ac:dyDescent="0.35">
      <c r="A48" s="102" t="s">
        <v>74</v>
      </c>
      <c r="B48" s="107" t="s">
        <v>73</v>
      </c>
      <c r="C48" s="94">
        <v>1</v>
      </c>
      <c r="D48" s="81">
        <v>4000</v>
      </c>
      <c r="E48" s="81">
        <f t="shared" si="64"/>
        <v>4000</v>
      </c>
      <c r="F48" s="88">
        <f t="shared" si="65"/>
        <v>2623828</v>
      </c>
      <c r="G48" s="87">
        <f t="shared" ref="G48:G58" si="74">+H48*655.957</f>
        <v>2623828</v>
      </c>
      <c r="H48" s="88">
        <v>4000</v>
      </c>
      <c r="I48" s="48">
        <v>2795600</v>
      </c>
      <c r="J48" s="33">
        <f t="shared" ref="J48:J60" si="75">+I48/655.957</f>
        <v>4261.8647258890442</v>
      </c>
      <c r="K48" s="48"/>
      <c r="L48" s="33">
        <f t="shared" ref="L48:L60" si="76">+K48/655.957</f>
        <v>0</v>
      </c>
      <c r="M48" s="67"/>
      <c r="N48" s="70">
        <f t="shared" ref="N48:N60" si="77">+M48/655.957</f>
        <v>0</v>
      </c>
      <c r="O48" s="73">
        <f t="shared" si="66"/>
        <v>2795600</v>
      </c>
      <c r="P48" s="74">
        <f t="shared" si="67"/>
        <v>4261.8647258890442</v>
      </c>
      <c r="Q48" s="73"/>
      <c r="R48" s="74">
        <f t="shared" si="68"/>
        <v>0</v>
      </c>
      <c r="S48" s="73"/>
      <c r="T48" s="74">
        <f t="shared" si="69"/>
        <v>0</v>
      </c>
      <c r="U48" s="73">
        <f t="shared" ref="U48:U54" si="78">Q48-S48</f>
        <v>0</v>
      </c>
      <c r="V48" s="74">
        <f t="shared" si="70"/>
        <v>0</v>
      </c>
      <c r="W48" s="194" t="e">
        <f t="shared" si="71"/>
        <v>#DIV/0!</v>
      </c>
      <c r="X48" s="73">
        <f t="shared" si="72"/>
        <v>2795600</v>
      </c>
      <c r="Y48" s="74">
        <f t="shared" si="73"/>
        <v>4261.8647258890442</v>
      </c>
      <c r="Z48" s="78"/>
      <c r="AL48" s="1"/>
    </row>
    <row r="49" spans="1:38" ht="30" customHeight="1" x14ac:dyDescent="0.35">
      <c r="A49" s="102" t="s">
        <v>75</v>
      </c>
      <c r="B49" s="107" t="s">
        <v>76</v>
      </c>
      <c r="C49" s="94">
        <v>1</v>
      </c>
      <c r="D49" s="81">
        <v>12000</v>
      </c>
      <c r="E49" s="81">
        <f t="shared" si="64"/>
        <v>12000</v>
      </c>
      <c r="F49" s="88">
        <f t="shared" si="65"/>
        <v>7871484</v>
      </c>
      <c r="G49" s="87">
        <f t="shared" si="74"/>
        <v>7871484</v>
      </c>
      <c r="H49" s="88">
        <v>12000</v>
      </c>
      <c r="I49" s="48">
        <v>6880000</v>
      </c>
      <c r="J49" s="33">
        <f t="shared" si="75"/>
        <v>10488.492385933834</v>
      </c>
      <c r="K49" s="48"/>
      <c r="L49" s="33">
        <f t="shared" si="76"/>
        <v>0</v>
      </c>
      <c r="M49" s="67"/>
      <c r="N49" s="70">
        <f t="shared" si="77"/>
        <v>0</v>
      </c>
      <c r="O49" s="73">
        <f t="shared" si="66"/>
        <v>6880000</v>
      </c>
      <c r="P49" s="74">
        <f t="shared" si="67"/>
        <v>10488.492385933834</v>
      </c>
      <c r="Q49" s="73"/>
      <c r="R49" s="74">
        <f t="shared" si="68"/>
        <v>0</v>
      </c>
      <c r="S49" s="73"/>
      <c r="T49" s="74">
        <f t="shared" si="69"/>
        <v>0</v>
      </c>
      <c r="U49" s="73">
        <f t="shared" si="78"/>
        <v>0</v>
      </c>
      <c r="V49" s="74">
        <f t="shared" si="70"/>
        <v>0</v>
      </c>
      <c r="W49" s="194" t="e">
        <f t="shared" si="71"/>
        <v>#DIV/0!</v>
      </c>
      <c r="X49" s="73">
        <f t="shared" si="72"/>
        <v>6880000</v>
      </c>
      <c r="Y49" s="74">
        <f t="shared" si="73"/>
        <v>10488.492385933834</v>
      </c>
      <c r="Z49" s="78"/>
      <c r="AL49" s="1"/>
    </row>
    <row r="50" spans="1:38" ht="30" customHeight="1" x14ac:dyDescent="0.35">
      <c r="A50" s="102" t="s">
        <v>77</v>
      </c>
      <c r="B50" s="107" t="s">
        <v>76</v>
      </c>
      <c r="C50" s="94">
        <v>1</v>
      </c>
      <c r="D50" s="81">
        <v>7000</v>
      </c>
      <c r="E50" s="81">
        <f t="shared" si="64"/>
        <v>7000</v>
      </c>
      <c r="F50" s="88">
        <f t="shared" si="65"/>
        <v>4591699</v>
      </c>
      <c r="G50" s="87">
        <f t="shared" si="74"/>
        <v>4591699</v>
      </c>
      <c r="H50" s="88">
        <v>7000</v>
      </c>
      <c r="I50" s="48">
        <v>0</v>
      </c>
      <c r="J50" s="33">
        <f t="shared" si="75"/>
        <v>0</v>
      </c>
      <c r="K50" s="48">
        <v>0</v>
      </c>
      <c r="L50" s="33">
        <f t="shared" si="76"/>
        <v>0</v>
      </c>
      <c r="M50" s="67"/>
      <c r="N50" s="70">
        <f t="shared" si="77"/>
        <v>0</v>
      </c>
      <c r="O50" s="73">
        <f t="shared" si="66"/>
        <v>0</v>
      </c>
      <c r="P50" s="74">
        <f t="shared" si="67"/>
        <v>0</v>
      </c>
      <c r="Q50" s="73"/>
      <c r="R50" s="74">
        <f t="shared" si="68"/>
        <v>0</v>
      </c>
      <c r="S50" s="73"/>
      <c r="T50" s="74">
        <f t="shared" si="69"/>
        <v>0</v>
      </c>
      <c r="U50" s="73">
        <f t="shared" si="78"/>
        <v>0</v>
      </c>
      <c r="V50" s="74">
        <f t="shared" si="70"/>
        <v>0</v>
      </c>
      <c r="W50" s="194" t="e">
        <f t="shared" si="71"/>
        <v>#DIV/0!</v>
      </c>
      <c r="X50" s="73">
        <f t="shared" si="72"/>
        <v>0</v>
      </c>
      <c r="Y50" s="74">
        <f t="shared" si="73"/>
        <v>0</v>
      </c>
      <c r="Z50" s="78"/>
      <c r="AL50" s="1"/>
    </row>
    <row r="51" spans="1:38" ht="26" x14ac:dyDescent="0.35">
      <c r="A51" s="102" t="s">
        <v>78</v>
      </c>
      <c r="B51" s="107" t="s">
        <v>73</v>
      </c>
      <c r="C51" s="94">
        <v>1</v>
      </c>
      <c r="D51" s="81">
        <v>4000</v>
      </c>
      <c r="E51" s="81">
        <f t="shared" si="64"/>
        <v>4000</v>
      </c>
      <c r="F51" s="88">
        <f t="shared" si="65"/>
        <v>2623828</v>
      </c>
      <c r="G51" s="87">
        <f t="shared" si="74"/>
        <v>2623828</v>
      </c>
      <c r="H51" s="88">
        <v>4000</v>
      </c>
      <c r="I51" s="48">
        <v>0</v>
      </c>
      <c r="J51" s="33">
        <f t="shared" si="75"/>
        <v>0</v>
      </c>
      <c r="K51" s="48">
        <v>655957</v>
      </c>
      <c r="L51" s="33">
        <f t="shared" si="76"/>
        <v>1000</v>
      </c>
      <c r="M51" s="67"/>
      <c r="N51" s="70">
        <f t="shared" si="77"/>
        <v>0</v>
      </c>
      <c r="O51" s="73">
        <f t="shared" si="66"/>
        <v>655957</v>
      </c>
      <c r="P51" s="74">
        <f t="shared" si="67"/>
        <v>1000</v>
      </c>
      <c r="Q51" s="73">
        <v>1967871</v>
      </c>
      <c r="R51" s="74">
        <f t="shared" si="68"/>
        <v>3000</v>
      </c>
      <c r="S51" s="73">
        <v>1703760</v>
      </c>
      <c r="T51" s="74">
        <f t="shared" si="69"/>
        <v>2597.365376084103</v>
      </c>
      <c r="U51" s="73">
        <f t="shared" si="78"/>
        <v>264111</v>
      </c>
      <c r="V51" s="74">
        <f t="shared" si="70"/>
        <v>402.63462391589695</v>
      </c>
      <c r="W51" s="194">
        <f t="shared" si="71"/>
        <v>0.865788458694701</v>
      </c>
      <c r="X51" s="73">
        <f t="shared" si="72"/>
        <v>2359717</v>
      </c>
      <c r="Y51" s="74">
        <f t="shared" si="73"/>
        <v>3597.365376084103</v>
      </c>
      <c r="Z51" s="78"/>
      <c r="AL51" s="1"/>
    </row>
    <row r="52" spans="1:38" x14ac:dyDescent="0.35">
      <c r="A52" s="102" t="s">
        <v>79</v>
      </c>
      <c r="B52" s="107" t="s">
        <v>80</v>
      </c>
      <c r="C52" s="94">
        <f>2*4</f>
        <v>8</v>
      </c>
      <c r="D52" s="81">
        <v>1000</v>
      </c>
      <c r="E52" s="81">
        <f t="shared" si="64"/>
        <v>8000</v>
      </c>
      <c r="F52" s="88">
        <f t="shared" si="65"/>
        <v>5247656</v>
      </c>
      <c r="G52" s="87">
        <f t="shared" si="74"/>
        <v>5247656</v>
      </c>
      <c r="H52" s="88">
        <v>8000</v>
      </c>
      <c r="I52" s="48">
        <v>0</v>
      </c>
      <c r="J52" s="33">
        <f t="shared" si="75"/>
        <v>0</v>
      </c>
      <c r="K52" s="48">
        <v>1111550</v>
      </c>
      <c r="L52" s="33">
        <f t="shared" si="76"/>
        <v>1694.547051102435</v>
      </c>
      <c r="M52" s="67"/>
      <c r="N52" s="70">
        <f t="shared" si="77"/>
        <v>0</v>
      </c>
      <c r="O52" s="73">
        <f t="shared" si="66"/>
        <v>1111550</v>
      </c>
      <c r="P52" s="74">
        <f t="shared" si="67"/>
        <v>1694.547051102435</v>
      </c>
      <c r="Q52" s="73"/>
      <c r="R52" s="74">
        <f t="shared" si="68"/>
        <v>0</v>
      </c>
      <c r="S52" s="73"/>
      <c r="T52" s="74">
        <f t="shared" si="69"/>
        <v>0</v>
      </c>
      <c r="U52" s="73">
        <f t="shared" si="78"/>
        <v>0</v>
      </c>
      <c r="V52" s="74">
        <f t="shared" si="70"/>
        <v>0</v>
      </c>
      <c r="W52" s="194" t="e">
        <f t="shared" si="71"/>
        <v>#DIV/0!</v>
      </c>
      <c r="X52" s="73">
        <f t="shared" si="72"/>
        <v>1111550</v>
      </c>
      <c r="Y52" s="74">
        <f t="shared" si="73"/>
        <v>1694.547051102435</v>
      </c>
      <c r="Z52" s="78"/>
      <c r="AL52" s="1"/>
    </row>
    <row r="53" spans="1:38" ht="32.25" customHeight="1" x14ac:dyDescent="0.35">
      <c r="A53" s="102" t="s">
        <v>81</v>
      </c>
      <c r="B53" s="107" t="s">
        <v>80</v>
      </c>
      <c r="C53" s="94">
        <f>2*4</f>
        <v>8</v>
      </c>
      <c r="D53" s="81">
        <v>3000</v>
      </c>
      <c r="E53" s="81">
        <f t="shared" si="64"/>
        <v>24000</v>
      </c>
      <c r="F53" s="88">
        <f t="shared" si="65"/>
        <v>15742968</v>
      </c>
      <c r="G53" s="87">
        <f t="shared" si="74"/>
        <v>15742968</v>
      </c>
      <c r="H53" s="88">
        <v>24000</v>
      </c>
      <c r="I53" s="48">
        <v>2074202</v>
      </c>
      <c r="J53" s="33">
        <f t="shared" si="75"/>
        <v>3162.1005645187111</v>
      </c>
      <c r="K53" s="48">
        <v>5332640</v>
      </c>
      <c r="L53" s="33">
        <f t="shared" si="76"/>
        <v>8129.557272809041</v>
      </c>
      <c r="M53" s="67">
        <v>3820109.9000400002</v>
      </c>
      <c r="N53" s="71">
        <f t="shared" si="77"/>
        <v>5823.72</v>
      </c>
      <c r="O53" s="73">
        <f t="shared" si="66"/>
        <v>11226951.900040001</v>
      </c>
      <c r="P53" s="74">
        <f t="shared" si="67"/>
        <v>17115.377837327753</v>
      </c>
      <c r="Q53" s="73"/>
      <c r="R53" s="74">
        <f t="shared" si="68"/>
        <v>0</v>
      </c>
      <c r="S53" s="73"/>
      <c r="T53" s="74">
        <f t="shared" si="69"/>
        <v>0</v>
      </c>
      <c r="U53" s="73">
        <f t="shared" si="78"/>
        <v>0</v>
      </c>
      <c r="V53" s="74">
        <f t="shared" si="70"/>
        <v>0</v>
      </c>
      <c r="W53" s="194" t="e">
        <f t="shared" si="71"/>
        <v>#DIV/0!</v>
      </c>
      <c r="X53" s="73">
        <f t="shared" si="72"/>
        <v>11226951.900040001</v>
      </c>
      <c r="Y53" s="74">
        <f t="shared" si="73"/>
        <v>17115.377837327753</v>
      </c>
      <c r="Z53" s="78"/>
      <c r="AL53" s="1"/>
    </row>
    <row r="54" spans="1:38" ht="15" customHeight="1" x14ac:dyDescent="0.35">
      <c r="A54" s="102" t="s">
        <v>82</v>
      </c>
      <c r="B54" s="107" t="s">
        <v>76</v>
      </c>
      <c r="C54" s="94">
        <v>2</v>
      </c>
      <c r="D54" s="81">
        <v>8000</v>
      </c>
      <c r="E54" s="81">
        <f t="shared" si="64"/>
        <v>16000</v>
      </c>
      <c r="F54" s="88">
        <f t="shared" si="65"/>
        <v>10495312</v>
      </c>
      <c r="G54" s="87">
        <f t="shared" si="74"/>
        <v>10495312</v>
      </c>
      <c r="H54" s="88">
        <v>16000</v>
      </c>
      <c r="I54" s="48"/>
      <c r="J54" s="33">
        <f t="shared" si="75"/>
        <v>0</v>
      </c>
      <c r="K54" s="48">
        <v>0</v>
      </c>
      <c r="L54" s="33">
        <f t="shared" si="76"/>
        <v>0</v>
      </c>
      <c r="M54" s="67">
        <v>4300000</v>
      </c>
      <c r="N54" s="70">
        <f t="shared" si="77"/>
        <v>6555.3077412086468</v>
      </c>
      <c r="O54" s="73">
        <f t="shared" si="66"/>
        <v>4300000</v>
      </c>
      <c r="P54" s="74">
        <f t="shared" si="67"/>
        <v>6555.3077412086468</v>
      </c>
      <c r="Q54" s="73"/>
      <c r="R54" s="74">
        <f t="shared" si="68"/>
        <v>0</v>
      </c>
      <c r="S54" s="73"/>
      <c r="T54" s="74">
        <f t="shared" si="69"/>
        <v>0</v>
      </c>
      <c r="U54" s="73">
        <f t="shared" si="78"/>
        <v>0</v>
      </c>
      <c r="V54" s="74">
        <f t="shared" si="70"/>
        <v>0</v>
      </c>
      <c r="W54" s="194" t="e">
        <f t="shared" si="71"/>
        <v>#DIV/0!</v>
      </c>
      <c r="X54" s="73">
        <f t="shared" si="72"/>
        <v>4300000</v>
      </c>
      <c r="Y54" s="74">
        <f t="shared" si="73"/>
        <v>6555.3077412086468</v>
      </c>
      <c r="Z54" s="78"/>
      <c r="AL54" s="1"/>
    </row>
    <row r="55" spans="1:38" ht="16.5" customHeight="1" x14ac:dyDescent="0.35">
      <c r="A55" s="102" t="s">
        <v>83</v>
      </c>
      <c r="B55" s="107" t="s">
        <v>84</v>
      </c>
      <c r="C55" s="94">
        <v>4</v>
      </c>
      <c r="D55" s="81">
        <v>5000</v>
      </c>
      <c r="E55" s="81">
        <f t="shared" si="64"/>
        <v>20000</v>
      </c>
      <c r="F55" s="88">
        <f t="shared" si="65"/>
        <v>13119140</v>
      </c>
      <c r="G55" s="87">
        <f t="shared" si="74"/>
        <v>13119140</v>
      </c>
      <c r="H55" s="88">
        <v>20000</v>
      </c>
      <c r="I55" s="48"/>
      <c r="J55" s="33">
        <f t="shared" si="75"/>
        <v>0</v>
      </c>
      <c r="K55" s="48">
        <v>3250000</v>
      </c>
      <c r="L55" s="33">
        <f t="shared" si="76"/>
        <v>4954.5930602158378</v>
      </c>
      <c r="M55" s="67">
        <v>3835000</v>
      </c>
      <c r="N55" s="70">
        <f t="shared" si="77"/>
        <v>5846.4198110546877</v>
      </c>
      <c r="O55" s="73">
        <f t="shared" si="66"/>
        <v>7085000</v>
      </c>
      <c r="P55" s="74">
        <f t="shared" si="67"/>
        <v>10801.012871270525</v>
      </c>
      <c r="Q55" s="73">
        <v>3935742</v>
      </c>
      <c r="R55" s="74">
        <f t="shared" si="68"/>
        <v>6000</v>
      </c>
      <c r="S55" s="73">
        <v>3835000</v>
      </c>
      <c r="T55" s="74">
        <f t="shared" si="69"/>
        <v>5846.4198110546877</v>
      </c>
      <c r="U55" s="73">
        <f>Q55-S55</f>
        <v>100742</v>
      </c>
      <c r="V55" s="74">
        <f t="shared" si="70"/>
        <v>153.58018894531196</v>
      </c>
      <c r="W55" s="194">
        <f t="shared" si="71"/>
        <v>0.97440330184244806</v>
      </c>
      <c r="X55" s="73">
        <f t="shared" si="72"/>
        <v>10920000</v>
      </c>
      <c r="Y55" s="74">
        <f t="shared" si="73"/>
        <v>16647.432682325212</v>
      </c>
      <c r="Z55" s="78"/>
      <c r="AL55" s="1"/>
    </row>
    <row r="56" spans="1:38" ht="15" customHeight="1" x14ac:dyDescent="0.35">
      <c r="A56" s="102" t="s">
        <v>85</v>
      </c>
      <c r="B56" s="107" t="s">
        <v>54</v>
      </c>
      <c r="C56" s="94">
        <v>4</v>
      </c>
      <c r="D56" s="81">
        <v>2500</v>
      </c>
      <c r="E56" s="81">
        <f t="shared" si="64"/>
        <v>10000</v>
      </c>
      <c r="F56" s="88">
        <f t="shared" si="65"/>
        <v>6559570</v>
      </c>
      <c r="G56" s="87">
        <f t="shared" si="74"/>
        <v>6559570</v>
      </c>
      <c r="H56" s="88">
        <v>10000</v>
      </c>
      <c r="I56" s="48">
        <v>0</v>
      </c>
      <c r="J56" s="33">
        <f t="shared" si="75"/>
        <v>0</v>
      </c>
      <c r="K56" s="48">
        <v>5265916</v>
      </c>
      <c r="L56" s="33">
        <f t="shared" si="76"/>
        <v>8027.8371905475515</v>
      </c>
      <c r="M56" s="67">
        <v>1600000</v>
      </c>
      <c r="N56" s="70">
        <f t="shared" si="77"/>
        <v>2439.184275798566</v>
      </c>
      <c r="O56" s="73">
        <f t="shared" si="66"/>
        <v>6865916</v>
      </c>
      <c r="P56" s="74">
        <f t="shared" si="67"/>
        <v>10467.021466346117</v>
      </c>
      <c r="Q56" s="73"/>
      <c r="R56" s="74">
        <f t="shared" si="68"/>
        <v>0</v>
      </c>
      <c r="S56" s="73"/>
      <c r="T56" s="74">
        <f t="shared" si="69"/>
        <v>0</v>
      </c>
      <c r="U56" s="73">
        <f t="shared" ref="U56:U60" si="79">Q56-S56</f>
        <v>0</v>
      </c>
      <c r="V56" s="74">
        <f t="shared" si="70"/>
        <v>0</v>
      </c>
      <c r="W56" s="194" t="e">
        <f t="shared" si="71"/>
        <v>#DIV/0!</v>
      </c>
      <c r="X56" s="73">
        <f t="shared" si="72"/>
        <v>6865916</v>
      </c>
      <c r="Y56" s="74">
        <f t="shared" si="73"/>
        <v>10467.021466346117</v>
      </c>
      <c r="Z56" s="78"/>
      <c r="AL56" s="1"/>
    </row>
    <row r="57" spans="1:38" ht="15" customHeight="1" x14ac:dyDescent="0.35">
      <c r="A57" s="102" t="s">
        <v>86</v>
      </c>
      <c r="B57" s="107" t="s">
        <v>73</v>
      </c>
      <c r="C57" s="94">
        <v>1</v>
      </c>
      <c r="D57" s="81">
        <v>5000</v>
      </c>
      <c r="E57" s="81">
        <f t="shared" si="64"/>
        <v>5000</v>
      </c>
      <c r="F57" s="88">
        <f t="shared" si="65"/>
        <v>3279785</v>
      </c>
      <c r="G57" s="87">
        <f>+F57</f>
        <v>3279785</v>
      </c>
      <c r="H57" s="88">
        <f>+G57/655.957</f>
        <v>5000</v>
      </c>
      <c r="I57" s="48"/>
      <c r="J57" s="33">
        <f t="shared" si="75"/>
        <v>0</v>
      </c>
      <c r="K57" s="48"/>
      <c r="L57" s="33">
        <f t="shared" si="76"/>
        <v>0</v>
      </c>
      <c r="M57" s="67"/>
      <c r="N57" s="70">
        <f t="shared" si="77"/>
        <v>0</v>
      </c>
      <c r="O57" s="73">
        <f t="shared" si="66"/>
        <v>0</v>
      </c>
      <c r="P57" s="74">
        <f t="shared" si="67"/>
        <v>0</v>
      </c>
      <c r="Q57" s="73"/>
      <c r="R57" s="74">
        <f t="shared" si="68"/>
        <v>0</v>
      </c>
      <c r="S57" s="73"/>
      <c r="T57" s="74">
        <f t="shared" si="69"/>
        <v>0</v>
      </c>
      <c r="U57" s="73">
        <f t="shared" si="79"/>
        <v>0</v>
      </c>
      <c r="V57" s="74">
        <f t="shared" si="70"/>
        <v>0</v>
      </c>
      <c r="W57" s="194" t="e">
        <f t="shared" si="71"/>
        <v>#DIV/0!</v>
      </c>
      <c r="X57" s="73">
        <f t="shared" si="72"/>
        <v>0</v>
      </c>
      <c r="Y57" s="74">
        <f t="shared" si="73"/>
        <v>0</v>
      </c>
      <c r="Z57" s="78"/>
      <c r="AL57" s="1"/>
    </row>
    <row r="58" spans="1:38" ht="15" customHeight="1" x14ac:dyDescent="0.35">
      <c r="A58" s="102" t="s">
        <v>87</v>
      </c>
      <c r="B58" s="107" t="s">
        <v>23</v>
      </c>
      <c r="C58" s="94">
        <v>48</v>
      </c>
      <c r="D58" s="81">
        <f>300000/655.957</f>
        <v>457.34705171223112</v>
      </c>
      <c r="E58" s="81">
        <f t="shared" si="64"/>
        <v>21952.658482187093</v>
      </c>
      <c r="F58" s="88">
        <f t="shared" si="65"/>
        <v>14399999.999999998</v>
      </c>
      <c r="G58" s="87">
        <f t="shared" si="74"/>
        <v>14399999.999999998</v>
      </c>
      <c r="H58" s="88">
        <v>21952.658482187093</v>
      </c>
      <c r="I58" s="48">
        <v>2089395</v>
      </c>
      <c r="J58" s="33">
        <f t="shared" si="75"/>
        <v>3185.2621437075904</v>
      </c>
      <c r="K58" s="48">
        <v>599540</v>
      </c>
      <c r="L58" s="33">
        <f t="shared" si="76"/>
        <v>913.99283794517021</v>
      </c>
      <c r="M58" s="67"/>
      <c r="N58" s="70">
        <f t="shared" si="77"/>
        <v>0</v>
      </c>
      <c r="O58" s="73">
        <f t="shared" si="66"/>
        <v>2688935</v>
      </c>
      <c r="P58" s="74">
        <f t="shared" si="67"/>
        <v>4099.2549816527608</v>
      </c>
      <c r="Q58" s="73"/>
      <c r="R58" s="74">
        <f t="shared" si="68"/>
        <v>0</v>
      </c>
      <c r="S58" s="73"/>
      <c r="T58" s="74">
        <f t="shared" si="69"/>
        <v>0</v>
      </c>
      <c r="U58" s="73">
        <f t="shared" si="79"/>
        <v>0</v>
      </c>
      <c r="V58" s="74">
        <f t="shared" si="70"/>
        <v>0</v>
      </c>
      <c r="W58" s="194" t="e">
        <f t="shared" si="71"/>
        <v>#DIV/0!</v>
      </c>
      <c r="X58" s="73">
        <f t="shared" si="72"/>
        <v>2688935</v>
      </c>
      <c r="Y58" s="74">
        <f t="shared" si="73"/>
        <v>4099.2549816527608</v>
      </c>
      <c r="Z58" s="78"/>
      <c r="AL58" s="1"/>
    </row>
    <row r="59" spans="1:38" ht="21.5" customHeight="1" x14ac:dyDescent="0.35">
      <c r="A59" s="102" t="s">
        <v>88</v>
      </c>
      <c r="B59" s="107" t="s">
        <v>89</v>
      </c>
      <c r="C59" s="94">
        <v>1</v>
      </c>
      <c r="D59" s="81">
        <v>75000</v>
      </c>
      <c r="E59" s="81">
        <f t="shared" si="64"/>
        <v>75000</v>
      </c>
      <c r="F59" s="88">
        <f t="shared" si="65"/>
        <v>49196775</v>
      </c>
      <c r="G59" s="87">
        <f>+F59</f>
        <v>49196775</v>
      </c>
      <c r="H59" s="88">
        <f>+G59/655.957</f>
        <v>75000</v>
      </c>
      <c r="I59" s="48">
        <v>26766718</v>
      </c>
      <c r="J59" s="33">
        <f t="shared" si="75"/>
        <v>40805.598537709026</v>
      </c>
      <c r="K59" s="48">
        <v>19686715</v>
      </c>
      <c r="L59" s="33">
        <f t="shared" si="76"/>
        <v>30012.203543829855</v>
      </c>
      <c r="M59" s="67"/>
      <c r="N59" s="70">
        <f t="shared" si="77"/>
        <v>0</v>
      </c>
      <c r="O59" s="73">
        <f t="shared" si="66"/>
        <v>46453433</v>
      </c>
      <c r="P59" s="74">
        <f t="shared" si="67"/>
        <v>70817.802081538888</v>
      </c>
      <c r="Q59" s="73"/>
      <c r="R59" s="74">
        <f t="shared" si="68"/>
        <v>0</v>
      </c>
      <c r="S59" s="73"/>
      <c r="T59" s="74">
        <f t="shared" si="69"/>
        <v>0</v>
      </c>
      <c r="U59" s="73">
        <f t="shared" si="79"/>
        <v>0</v>
      </c>
      <c r="V59" s="74">
        <f t="shared" si="70"/>
        <v>0</v>
      </c>
      <c r="W59" s="194" t="e">
        <f t="shared" si="71"/>
        <v>#DIV/0!</v>
      </c>
      <c r="X59" s="73">
        <f t="shared" si="72"/>
        <v>46453433</v>
      </c>
      <c r="Y59" s="74">
        <f t="shared" si="73"/>
        <v>70817.802081538888</v>
      </c>
      <c r="Z59" s="78"/>
      <c r="AL59" s="1"/>
    </row>
    <row r="60" spans="1:38" x14ac:dyDescent="0.35">
      <c r="A60" s="102" t="s">
        <v>90</v>
      </c>
      <c r="B60" s="107" t="s">
        <v>91</v>
      </c>
      <c r="C60" s="94">
        <v>0</v>
      </c>
      <c r="D60" s="95">
        <v>3100</v>
      </c>
      <c r="E60" s="81">
        <f t="shared" si="64"/>
        <v>0</v>
      </c>
      <c r="F60" s="88">
        <f t="shared" si="65"/>
        <v>0</v>
      </c>
      <c r="G60" s="87">
        <v>0</v>
      </c>
      <c r="H60" s="88">
        <v>0</v>
      </c>
      <c r="I60" s="48"/>
      <c r="J60" s="33">
        <f t="shared" si="75"/>
        <v>0</v>
      </c>
      <c r="K60" s="48">
        <v>5200000</v>
      </c>
      <c r="L60" s="33">
        <f t="shared" si="76"/>
        <v>7927.3488963453401</v>
      </c>
      <c r="M60" s="67">
        <f>2459216+520000</f>
        <v>2979216</v>
      </c>
      <c r="N60" s="70">
        <f t="shared" si="77"/>
        <v>4541.7855133796884</v>
      </c>
      <c r="O60" s="73">
        <f t="shared" si="66"/>
        <v>8179216</v>
      </c>
      <c r="P60" s="74">
        <f t="shared" si="67"/>
        <v>12469.134409725028</v>
      </c>
      <c r="Q60" s="73">
        <v>3306023</v>
      </c>
      <c r="R60" s="74">
        <f t="shared" si="68"/>
        <v>5039.9995731427516</v>
      </c>
      <c r="S60" s="73">
        <f>2861750+540000</f>
        <v>3401750</v>
      </c>
      <c r="T60" s="74">
        <f t="shared" si="69"/>
        <v>5185.934443873608</v>
      </c>
      <c r="U60" s="73">
        <f t="shared" si="79"/>
        <v>-95727</v>
      </c>
      <c r="V60" s="74">
        <f t="shared" si="70"/>
        <v>-145.93487073085583</v>
      </c>
      <c r="W60" s="194">
        <f t="shared" si="71"/>
        <v>1.0289553339465576</v>
      </c>
      <c r="X60" s="73">
        <f t="shared" si="72"/>
        <v>11580966</v>
      </c>
      <c r="Y60" s="74">
        <f t="shared" si="73"/>
        <v>17655.068853598634</v>
      </c>
      <c r="Z60" s="78"/>
      <c r="AL60" s="1"/>
    </row>
    <row r="61" spans="1:38" s="28" customFormat="1" x14ac:dyDescent="0.35">
      <c r="A61" s="114" t="s">
        <v>92</v>
      </c>
      <c r="B61" s="108"/>
      <c r="C61" s="38"/>
      <c r="D61" s="37"/>
      <c r="E61" s="39">
        <f>SUM(E47:E60)</f>
        <v>215952.65848218708</v>
      </c>
      <c r="F61" s="53">
        <f>SUM(F47:F60)</f>
        <v>141655658</v>
      </c>
      <c r="G61" s="52">
        <f>SUM(G47:G60)</f>
        <v>139687787</v>
      </c>
      <c r="H61" s="53">
        <f>SUM(H47:H60)</f>
        <v>212952.65848218708</v>
      </c>
      <c r="I61" s="111">
        <f t="shared" ref="I61:O61" si="80">SUM(I47:I60)</f>
        <v>43591604</v>
      </c>
      <c r="J61" s="53">
        <f t="shared" si="80"/>
        <v>66454.971896023664</v>
      </c>
      <c r="K61" s="53">
        <f>SUM(K47:K60)</f>
        <v>41102318</v>
      </c>
      <c r="L61" s="53">
        <f t="shared" si="80"/>
        <v>62660.079852795228</v>
      </c>
      <c r="M61" s="53">
        <f>SUM(M47:M60)</f>
        <v>16534325.900040001</v>
      </c>
      <c r="N61" s="53">
        <f t="shared" si="80"/>
        <v>25206.417341441589</v>
      </c>
      <c r="O61" s="111">
        <f t="shared" si="80"/>
        <v>101228247.90004</v>
      </c>
      <c r="P61" s="53">
        <f>SUM(P47:P60)</f>
        <v>154321.46909026051</v>
      </c>
      <c r="Q61" s="53">
        <f t="shared" ref="Q61:Y61" si="81">SUM(Q47:Q60)</f>
        <v>9209636</v>
      </c>
      <c r="R61" s="53">
        <f t="shared" si="81"/>
        <v>14039.999573142752</v>
      </c>
      <c r="S61" s="53">
        <f>SUM(S47:S60)</f>
        <v>8940510</v>
      </c>
      <c r="T61" s="53">
        <f t="shared" si="81"/>
        <v>13629.719631012398</v>
      </c>
      <c r="U61" s="53">
        <f t="shared" ref="U61:V61" si="82">SUM(U47:U60)</f>
        <v>269126</v>
      </c>
      <c r="V61" s="53">
        <f t="shared" si="82"/>
        <v>410.27994213035305</v>
      </c>
      <c r="W61" s="97">
        <f>+S61/Q61</f>
        <v>0.97077778101110623</v>
      </c>
      <c r="X61" s="53">
        <f t="shared" si="81"/>
        <v>110168757.90004</v>
      </c>
      <c r="Y61" s="53">
        <f t="shared" si="81"/>
        <v>167951.18872127289</v>
      </c>
      <c r="Z61" s="53"/>
    </row>
    <row r="62" spans="1:38" s="42" customFormat="1" ht="26" customHeight="1" x14ac:dyDescent="0.35">
      <c r="A62" s="54" t="s">
        <v>93</v>
      </c>
      <c r="B62" s="54"/>
      <c r="C62" s="44"/>
      <c r="D62" s="44"/>
      <c r="E62" s="44"/>
      <c r="F62" s="109"/>
      <c r="G62" s="54"/>
      <c r="H62" s="55"/>
      <c r="I62" s="50"/>
      <c r="J62" s="51"/>
      <c r="K62" s="50"/>
      <c r="L62" s="51"/>
      <c r="M62" s="67"/>
      <c r="N62" s="68"/>
      <c r="O62" s="73"/>
      <c r="P62" s="74"/>
      <c r="Q62" s="73"/>
      <c r="R62" s="74"/>
      <c r="S62" s="73"/>
      <c r="T62" s="74"/>
      <c r="U62" s="73"/>
      <c r="V62" s="74"/>
      <c r="W62" s="73"/>
      <c r="X62" s="73"/>
      <c r="Y62" s="74"/>
      <c r="Z62" s="78"/>
    </row>
    <row r="63" spans="1:38" ht="26" x14ac:dyDescent="0.35">
      <c r="A63" s="102" t="s">
        <v>94</v>
      </c>
      <c r="B63" s="107" t="s">
        <v>91</v>
      </c>
      <c r="C63" s="94">
        <v>1</v>
      </c>
      <c r="D63" s="95">
        <v>50000</v>
      </c>
      <c r="E63" s="81">
        <f t="shared" ref="E63:E70" si="83">C63*D63</f>
        <v>50000</v>
      </c>
      <c r="F63" s="88">
        <f t="shared" ref="F63:F70" si="84">E63*655.957</f>
        <v>32797850</v>
      </c>
      <c r="G63" s="87">
        <f>+F63</f>
        <v>32797850</v>
      </c>
      <c r="H63" s="88">
        <f>+G63/655.957</f>
        <v>50000</v>
      </c>
      <c r="I63" s="48">
        <v>40685595</v>
      </c>
      <c r="J63" s="33">
        <f t="shared" ref="J63:J71" si="85">+I63/655.957</f>
        <v>62024.789734692975</v>
      </c>
      <c r="K63" s="48"/>
      <c r="L63" s="33">
        <f t="shared" ref="L63:L71" si="86">+K63/655.957</f>
        <v>0</v>
      </c>
      <c r="M63" s="67"/>
      <c r="N63" s="70">
        <f t="shared" ref="N63:N71" si="87">+M63/655.957</f>
        <v>0</v>
      </c>
      <c r="O63" s="73">
        <f t="shared" ref="O63:O71" si="88">I63+K63+M63</f>
        <v>40685595</v>
      </c>
      <c r="P63" s="74">
        <f t="shared" ref="P63:P71" si="89">+O63/655.957</f>
        <v>62024.789734692975</v>
      </c>
      <c r="Q63" s="73"/>
      <c r="R63" s="74">
        <f t="shared" ref="R63:R71" si="90">+Q63/655.957</f>
        <v>0</v>
      </c>
      <c r="S63" s="73"/>
      <c r="T63" s="74">
        <f t="shared" ref="T63:T71" si="91">+S63/655.957</f>
        <v>0</v>
      </c>
      <c r="U63" s="73"/>
      <c r="V63" s="74">
        <f t="shared" ref="V63:V71" si="92">+U63/655.957</f>
        <v>0</v>
      </c>
      <c r="W63" s="194" t="e">
        <f t="shared" ref="W63:W71" si="93">S63/Q63</f>
        <v>#DIV/0!</v>
      </c>
      <c r="X63" s="73">
        <f t="shared" ref="X63:X71" si="94">+O63+S63</f>
        <v>40685595</v>
      </c>
      <c r="Y63" s="74">
        <f t="shared" ref="Y63:Y71" si="95">+X63/655.957</f>
        <v>62024.789734692975</v>
      </c>
      <c r="Z63" s="78"/>
      <c r="AL63" s="1"/>
    </row>
    <row r="64" spans="1:38" ht="26" x14ac:dyDescent="0.35">
      <c r="A64" s="102" t="s">
        <v>95</v>
      </c>
      <c r="B64" s="107" t="s">
        <v>91</v>
      </c>
      <c r="C64" s="94">
        <v>1</v>
      </c>
      <c r="D64" s="95">
        <v>27000</v>
      </c>
      <c r="E64" s="81">
        <f t="shared" si="83"/>
        <v>27000</v>
      </c>
      <c r="F64" s="88">
        <f t="shared" si="84"/>
        <v>17710839</v>
      </c>
      <c r="G64" s="87">
        <f t="shared" ref="G64:G71" si="96">+H64*655.957</f>
        <v>17710839</v>
      </c>
      <c r="H64" s="88">
        <v>27000</v>
      </c>
      <c r="I64" s="48"/>
      <c r="J64" s="33">
        <f t="shared" si="85"/>
        <v>0</v>
      </c>
      <c r="K64" s="48">
        <v>20781000</v>
      </c>
      <c r="L64" s="33">
        <f t="shared" si="86"/>
        <v>31680.430272106252</v>
      </c>
      <c r="M64" s="67">
        <v>7882100</v>
      </c>
      <c r="N64" s="70">
        <f t="shared" si="87"/>
        <v>12016.183987669923</v>
      </c>
      <c r="O64" s="73">
        <f t="shared" si="88"/>
        <v>28663100</v>
      </c>
      <c r="P64" s="74">
        <f t="shared" si="89"/>
        <v>43696.614259776172</v>
      </c>
      <c r="Q64" s="73"/>
      <c r="R64" s="74">
        <f t="shared" si="90"/>
        <v>0</v>
      </c>
      <c r="S64" s="73"/>
      <c r="T64" s="74">
        <f t="shared" si="91"/>
        <v>0</v>
      </c>
      <c r="U64" s="73"/>
      <c r="V64" s="74">
        <f t="shared" si="92"/>
        <v>0</v>
      </c>
      <c r="W64" s="194" t="e">
        <f t="shared" si="93"/>
        <v>#DIV/0!</v>
      </c>
      <c r="X64" s="73">
        <f t="shared" si="94"/>
        <v>28663100</v>
      </c>
      <c r="Y64" s="74">
        <f t="shared" si="95"/>
        <v>43696.614259776172</v>
      </c>
      <c r="Z64" s="78"/>
      <c r="AL64" s="1"/>
    </row>
    <row r="65" spans="1:38" ht="26" x14ac:dyDescent="0.35">
      <c r="A65" s="102" t="s">
        <v>96</v>
      </c>
      <c r="B65" s="107" t="s">
        <v>91</v>
      </c>
      <c r="C65" s="94">
        <v>1</v>
      </c>
      <c r="D65" s="95">
        <v>27000</v>
      </c>
      <c r="E65" s="81">
        <f t="shared" si="83"/>
        <v>27000</v>
      </c>
      <c r="F65" s="88">
        <f t="shared" si="84"/>
        <v>17710839</v>
      </c>
      <c r="G65" s="87">
        <f t="shared" si="96"/>
        <v>0</v>
      </c>
      <c r="H65" s="88"/>
      <c r="I65" s="48">
        <v>877660</v>
      </c>
      <c r="J65" s="33">
        <f t="shared" si="85"/>
        <v>1337.9840446858559</v>
      </c>
      <c r="K65" s="48"/>
      <c r="L65" s="33">
        <f t="shared" si="86"/>
        <v>0</v>
      </c>
      <c r="M65" s="67"/>
      <c r="N65" s="70">
        <f t="shared" si="87"/>
        <v>0</v>
      </c>
      <c r="O65" s="73">
        <f t="shared" si="88"/>
        <v>877660</v>
      </c>
      <c r="P65" s="74">
        <f t="shared" si="89"/>
        <v>1337.9840446858559</v>
      </c>
      <c r="Q65" s="73"/>
      <c r="R65" s="74">
        <f t="shared" si="90"/>
        <v>0</v>
      </c>
      <c r="S65" s="73"/>
      <c r="T65" s="74">
        <f t="shared" si="91"/>
        <v>0</v>
      </c>
      <c r="U65" s="73"/>
      <c r="V65" s="74">
        <f t="shared" si="92"/>
        <v>0</v>
      </c>
      <c r="W65" s="194" t="e">
        <f t="shared" si="93"/>
        <v>#DIV/0!</v>
      </c>
      <c r="X65" s="73">
        <f t="shared" si="94"/>
        <v>877660</v>
      </c>
      <c r="Y65" s="74">
        <f t="shared" si="95"/>
        <v>1337.9840446858559</v>
      </c>
      <c r="Z65" s="78"/>
    </row>
    <row r="66" spans="1:38" ht="26" x14ac:dyDescent="0.35">
      <c r="A66" s="102" t="s">
        <v>97</v>
      </c>
      <c r="B66" s="107" t="s">
        <v>91</v>
      </c>
      <c r="C66" s="94">
        <v>1</v>
      </c>
      <c r="D66" s="95">
        <v>40000</v>
      </c>
      <c r="E66" s="81">
        <f t="shared" si="83"/>
        <v>40000</v>
      </c>
      <c r="F66" s="88">
        <f t="shared" si="84"/>
        <v>26238280</v>
      </c>
      <c r="G66" s="87">
        <f t="shared" si="96"/>
        <v>26238280</v>
      </c>
      <c r="H66" s="88">
        <v>40000</v>
      </c>
      <c r="I66" s="48"/>
      <c r="J66" s="33">
        <f t="shared" si="85"/>
        <v>0</v>
      </c>
      <c r="K66" s="48">
        <v>13094770</v>
      </c>
      <c r="L66" s="33">
        <f t="shared" si="86"/>
        <v>19962.848174499242</v>
      </c>
      <c r="M66" s="67">
        <v>10180207</v>
      </c>
      <c r="N66" s="70">
        <f t="shared" si="87"/>
        <v>15519.625524234058</v>
      </c>
      <c r="O66" s="73">
        <f t="shared" si="88"/>
        <v>23274977</v>
      </c>
      <c r="P66" s="74">
        <f t="shared" si="89"/>
        <v>35482.473698733302</v>
      </c>
      <c r="Q66" s="73"/>
      <c r="R66" s="74">
        <f t="shared" si="90"/>
        <v>0</v>
      </c>
      <c r="S66" s="73"/>
      <c r="T66" s="74">
        <f t="shared" si="91"/>
        <v>0</v>
      </c>
      <c r="U66" s="73"/>
      <c r="V66" s="74">
        <f t="shared" si="92"/>
        <v>0</v>
      </c>
      <c r="W66" s="194" t="e">
        <f t="shared" si="93"/>
        <v>#DIV/0!</v>
      </c>
      <c r="X66" s="73">
        <f t="shared" si="94"/>
        <v>23274977</v>
      </c>
      <c r="Y66" s="74">
        <f t="shared" si="95"/>
        <v>35482.473698733302</v>
      </c>
      <c r="Z66" s="78"/>
    </row>
    <row r="67" spans="1:38" ht="39" x14ac:dyDescent="0.35">
      <c r="A67" s="102" t="s">
        <v>98</v>
      </c>
      <c r="B67" s="107" t="s">
        <v>91</v>
      </c>
      <c r="C67" s="94">
        <v>1</v>
      </c>
      <c r="D67" s="95">
        <v>35000</v>
      </c>
      <c r="E67" s="81">
        <f t="shared" si="83"/>
        <v>35000</v>
      </c>
      <c r="F67" s="88">
        <f t="shared" si="84"/>
        <v>22958495</v>
      </c>
      <c r="G67" s="87">
        <f t="shared" si="96"/>
        <v>22958495</v>
      </c>
      <c r="H67" s="88">
        <v>35000</v>
      </c>
      <c r="I67" s="48">
        <f>2651800</f>
        <v>2651800</v>
      </c>
      <c r="J67" s="33">
        <f t="shared" si="85"/>
        <v>4042.6430391016484</v>
      </c>
      <c r="K67" s="48">
        <v>29586830</v>
      </c>
      <c r="L67" s="33">
        <f t="shared" si="86"/>
        <v>45104.831566703302</v>
      </c>
      <c r="M67" s="67">
        <v>12815260</v>
      </c>
      <c r="N67" s="70">
        <f t="shared" si="87"/>
        <v>19536.737926418959</v>
      </c>
      <c r="O67" s="73">
        <f t="shared" si="88"/>
        <v>45053890</v>
      </c>
      <c r="P67" s="74">
        <f t="shared" si="89"/>
        <v>68684.212532223915</v>
      </c>
      <c r="Q67" s="73"/>
      <c r="R67" s="74">
        <f t="shared" si="90"/>
        <v>0</v>
      </c>
      <c r="S67" s="73"/>
      <c r="T67" s="74">
        <f t="shared" si="91"/>
        <v>0</v>
      </c>
      <c r="U67" s="73"/>
      <c r="V67" s="74">
        <f t="shared" si="92"/>
        <v>0</v>
      </c>
      <c r="W67" s="194" t="e">
        <f t="shared" si="93"/>
        <v>#DIV/0!</v>
      </c>
      <c r="X67" s="73">
        <f t="shared" si="94"/>
        <v>45053890</v>
      </c>
      <c r="Y67" s="74">
        <f t="shared" si="95"/>
        <v>68684.212532223915</v>
      </c>
      <c r="Z67" s="78"/>
    </row>
    <row r="68" spans="1:38" x14ac:dyDescent="0.35">
      <c r="A68" s="102" t="s">
        <v>99</v>
      </c>
      <c r="B68" s="107" t="s">
        <v>91</v>
      </c>
      <c r="C68" s="94">
        <v>3</v>
      </c>
      <c r="D68" s="95">
        <v>60000</v>
      </c>
      <c r="E68" s="81">
        <f t="shared" si="83"/>
        <v>180000</v>
      </c>
      <c r="F68" s="88">
        <f t="shared" si="84"/>
        <v>118072260</v>
      </c>
      <c r="G68" s="87">
        <f t="shared" si="96"/>
        <v>118072260</v>
      </c>
      <c r="H68" s="88">
        <v>180000</v>
      </c>
      <c r="I68" s="48">
        <v>3177245</v>
      </c>
      <c r="J68" s="33">
        <f t="shared" si="85"/>
        <v>4843.6787777247591</v>
      </c>
      <c r="K68" s="48">
        <v>67544060</v>
      </c>
      <c r="L68" s="33">
        <f t="shared" si="86"/>
        <v>102970.25567224681</v>
      </c>
      <c r="M68" s="67">
        <f>51234119+2090400</f>
        <v>53324519</v>
      </c>
      <c r="N68" s="70">
        <f t="shared" si="87"/>
        <v>81292.705162076178</v>
      </c>
      <c r="O68" s="73">
        <f t="shared" si="88"/>
        <v>124045824</v>
      </c>
      <c r="P68" s="74">
        <f t="shared" si="89"/>
        <v>189106.63961204773</v>
      </c>
      <c r="Q68" s="73">
        <v>38701463</v>
      </c>
      <c r="R68" s="74">
        <f t="shared" si="90"/>
        <v>59000</v>
      </c>
      <c r="S68" s="73">
        <v>41436907</v>
      </c>
      <c r="T68" s="74">
        <f t="shared" si="91"/>
        <v>63170.157495079708</v>
      </c>
      <c r="U68" s="73">
        <f>Q68-S68</f>
        <v>-2735444</v>
      </c>
      <c r="V68" s="74">
        <f t="shared" si="92"/>
        <v>-4170.1574950797076</v>
      </c>
      <c r="W68" s="194">
        <f t="shared" si="93"/>
        <v>1.0706806355098255</v>
      </c>
      <c r="X68" s="73">
        <f t="shared" si="94"/>
        <v>165482731</v>
      </c>
      <c r="Y68" s="74">
        <f t="shared" si="95"/>
        <v>252276.79710712744</v>
      </c>
      <c r="Z68" s="78"/>
    </row>
    <row r="69" spans="1:38" ht="26" x14ac:dyDescent="0.35">
      <c r="A69" s="102" t="s">
        <v>100</v>
      </c>
      <c r="B69" s="107" t="s">
        <v>91</v>
      </c>
      <c r="C69" s="94">
        <f>10*4</f>
        <v>40</v>
      </c>
      <c r="D69" s="95">
        <v>762</v>
      </c>
      <c r="E69" s="81">
        <f t="shared" si="83"/>
        <v>30480</v>
      </c>
      <c r="F69" s="88">
        <f t="shared" si="84"/>
        <v>19993569.359999999</v>
      </c>
      <c r="G69" s="87">
        <f t="shared" si="96"/>
        <v>19993569.359999999</v>
      </c>
      <c r="H69" s="88">
        <v>30480</v>
      </c>
      <c r="I69" s="48">
        <v>16011200</v>
      </c>
      <c r="J69" s="33">
        <f t="shared" si="85"/>
        <v>24408.917047916249</v>
      </c>
      <c r="K69" s="48"/>
      <c r="L69" s="33">
        <f t="shared" si="86"/>
        <v>0</v>
      </c>
      <c r="M69" s="67"/>
      <c r="N69" s="70">
        <f t="shared" si="87"/>
        <v>0</v>
      </c>
      <c r="O69" s="73">
        <f t="shared" si="88"/>
        <v>16011200</v>
      </c>
      <c r="P69" s="74">
        <f t="shared" si="89"/>
        <v>24408.917047916249</v>
      </c>
      <c r="Q69" s="73">
        <v>1639893</v>
      </c>
      <c r="R69" s="74">
        <f t="shared" si="90"/>
        <v>2500.0007622450862</v>
      </c>
      <c r="S69" s="73">
        <v>1630000</v>
      </c>
      <c r="T69" s="74">
        <f t="shared" si="91"/>
        <v>2484.9189809697891</v>
      </c>
      <c r="U69" s="73">
        <f>Q69-S69</f>
        <v>9893</v>
      </c>
      <c r="V69" s="74">
        <f t="shared" si="92"/>
        <v>15.08178127529701</v>
      </c>
      <c r="W69" s="194">
        <f t="shared" si="93"/>
        <v>0.99396728932924283</v>
      </c>
      <c r="X69" s="73">
        <f t="shared" si="94"/>
        <v>17641200</v>
      </c>
      <c r="Y69" s="74">
        <f t="shared" si="95"/>
        <v>26893.836028886039</v>
      </c>
      <c r="Z69" s="78"/>
    </row>
    <row r="70" spans="1:38" x14ac:dyDescent="0.35">
      <c r="A70" s="102" t="s">
        <v>101</v>
      </c>
      <c r="B70" s="107" t="s">
        <v>91</v>
      </c>
      <c r="C70" s="94">
        <v>12</v>
      </c>
      <c r="D70" s="95">
        <v>2000</v>
      </c>
      <c r="E70" s="81">
        <f t="shared" si="83"/>
        <v>24000</v>
      </c>
      <c r="F70" s="88">
        <f t="shared" si="84"/>
        <v>15742968</v>
      </c>
      <c r="G70" s="87">
        <f t="shared" si="96"/>
        <v>7871484</v>
      </c>
      <c r="H70" s="88">
        <v>12000</v>
      </c>
      <c r="I70" s="48"/>
      <c r="J70" s="33">
        <f t="shared" si="85"/>
        <v>0</v>
      </c>
      <c r="K70" s="48">
        <v>5226850</v>
      </c>
      <c r="L70" s="33">
        <f t="shared" si="86"/>
        <v>7968.2814574735849</v>
      </c>
      <c r="M70" s="67">
        <v>3600000</v>
      </c>
      <c r="N70" s="70">
        <f t="shared" si="87"/>
        <v>5488.1646205467741</v>
      </c>
      <c r="O70" s="73">
        <f t="shared" si="88"/>
        <v>8826850</v>
      </c>
      <c r="P70" s="74">
        <f t="shared" si="89"/>
        <v>13456.446078020359</v>
      </c>
      <c r="Q70" s="73">
        <v>5247656</v>
      </c>
      <c r="R70" s="74">
        <f t="shared" si="90"/>
        <v>8000</v>
      </c>
      <c r="S70" s="73">
        <v>4230626</v>
      </c>
      <c r="T70" s="74">
        <f t="shared" si="91"/>
        <v>6449.5477599903652</v>
      </c>
      <c r="U70" s="73">
        <f>Q70-S70</f>
        <v>1017030</v>
      </c>
      <c r="V70" s="74">
        <f t="shared" si="92"/>
        <v>1550.4522400096348</v>
      </c>
      <c r="W70" s="194">
        <f t="shared" si="93"/>
        <v>0.8061934699987956</v>
      </c>
      <c r="X70" s="73">
        <f t="shared" si="94"/>
        <v>13057476</v>
      </c>
      <c r="Y70" s="74">
        <f t="shared" si="95"/>
        <v>19905.993838010723</v>
      </c>
      <c r="Z70" s="78"/>
    </row>
    <row r="71" spans="1:38" ht="26" x14ac:dyDescent="0.35">
      <c r="A71" s="102" t="s">
        <v>102</v>
      </c>
      <c r="B71" s="107" t="s">
        <v>91</v>
      </c>
      <c r="C71" s="94"/>
      <c r="D71" s="95"/>
      <c r="E71" s="81"/>
      <c r="F71" s="88"/>
      <c r="G71" s="87">
        <f t="shared" si="96"/>
        <v>0</v>
      </c>
      <c r="H71" s="88"/>
      <c r="I71" s="48"/>
      <c r="J71" s="33">
        <f t="shared" si="85"/>
        <v>0</v>
      </c>
      <c r="K71" s="48">
        <v>0</v>
      </c>
      <c r="L71" s="33">
        <f t="shared" si="86"/>
        <v>0</v>
      </c>
      <c r="M71" s="67">
        <f>3520000+4000000</f>
        <v>7520000</v>
      </c>
      <c r="N71" s="70">
        <f t="shared" si="87"/>
        <v>11464.166096253261</v>
      </c>
      <c r="O71" s="73">
        <f t="shared" si="88"/>
        <v>7520000</v>
      </c>
      <c r="P71" s="74">
        <f t="shared" si="89"/>
        <v>11464.166096253261</v>
      </c>
      <c r="Q71" s="73"/>
      <c r="R71" s="74">
        <f t="shared" si="90"/>
        <v>0</v>
      </c>
      <c r="S71" s="73"/>
      <c r="T71" s="74">
        <f t="shared" si="91"/>
        <v>0</v>
      </c>
      <c r="U71" s="73"/>
      <c r="V71" s="74">
        <f t="shared" si="92"/>
        <v>0</v>
      </c>
      <c r="W71" s="194" t="e">
        <f t="shared" si="93"/>
        <v>#DIV/0!</v>
      </c>
      <c r="X71" s="73">
        <f t="shared" si="94"/>
        <v>7520000</v>
      </c>
      <c r="Y71" s="74">
        <f t="shared" si="95"/>
        <v>11464.166096253261</v>
      </c>
      <c r="Z71" s="78"/>
    </row>
    <row r="72" spans="1:38" x14ac:dyDescent="0.35">
      <c r="A72" s="114" t="s">
        <v>103</v>
      </c>
      <c r="B72" s="108"/>
      <c r="C72" s="38"/>
      <c r="D72" s="37"/>
      <c r="E72" s="39">
        <f>SUM(E63:E71)</f>
        <v>413480</v>
      </c>
      <c r="F72" s="53">
        <f>E72*655.957</f>
        <v>271225100.36000001</v>
      </c>
      <c r="G72" s="52">
        <f>SUM(G63:G71)</f>
        <v>245642777.36000001</v>
      </c>
      <c r="H72" s="53">
        <f>SUM(H63:H71)</f>
        <v>374480</v>
      </c>
      <c r="I72" s="111">
        <f t="shared" ref="I72:L72" si="97">SUM(I63:I71)</f>
        <v>63403500</v>
      </c>
      <c r="J72" s="53">
        <f t="shared" si="97"/>
        <v>96658.012644121482</v>
      </c>
      <c r="K72" s="53">
        <f>SUM(K63:K71)</f>
        <v>136233510</v>
      </c>
      <c r="L72" s="53">
        <f t="shared" si="97"/>
        <v>207686.6471430292</v>
      </c>
      <c r="M72" s="53">
        <f t="shared" ref="M72" si="98">SUM(M63:M71)</f>
        <v>95322086</v>
      </c>
      <c r="N72" s="53">
        <f t="shared" ref="N72" si="99">SUM(N63:N71)</f>
        <v>145317.58331719914</v>
      </c>
      <c r="O72" s="111">
        <f t="shared" ref="O72" si="100">SUM(O63:O71)</f>
        <v>294959096</v>
      </c>
      <c r="P72" s="53">
        <f t="shared" ref="P72:Y72" si="101">SUM(P63:P71)</f>
        <v>449662.24310434982</v>
      </c>
      <c r="Q72" s="53">
        <f t="shared" si="101"/>
        <v>45589012</v>
      </c>
      <c r="R72" s="53">
        <f t="shared" si="101"/>
        <v>69500.000762245094</v>
      </c>
      <c r="S72" s="53">
        <f>SUM(S63:S71)</f>
        <v>47297533</v>
      </c>
      <c r="T72" s="53">
        <f t="shared" si="101"/>
        <v>72104.624236039861</v>
      </c>
      <c r="U72" s="53">
        <f t="shared" ref="U72:V72" si="102">SUM(U63:U71)</f>
        <v>-1708521</v>
      </c>
      <c r="V72" s="53">
        <f t="shared" si="102"/>
        <v>-2604.6234737947761</v>
      </c>
      <c r="W72" s="97">
        <f>+S72/Q72</f>
        <v>1.0374765963342218</v>
      </c>
      <c r="X72" s="53">
        <f t="shared" si="101"/>
        <v>342256629</v>
      </c>
      <c r="Y72" s="53">
        <f t="shared" si="101"/>
        <v>521766.86734038964</v>
      </c>
      <c r="Z72" s="53" t="s">
        <v>0</v>
      </c>
    </row>
    <row r="73" spans="1:38" s="42" customFormat="1" ht="26" customHeight="1" x14ac:dyDescent="0.35">
      <c r="A73" s="54" t="s">
        <v>104</v>
      </c>
      <c r="B73" s="54"/>
      <c r="C73" s="44"/>
      <c r="D73" s="44"/>
      <c r="E73" s="44"/>
      <c r="F73" s="109"/>
      <c r="G73" s="50"/>
      <c r="H73" s="51"/>
      <c r="I73" s="50"/>
      <c r="J73" s="51"/>
      <c r="K73" s="50"/>
      <c r="L73" s="51"/>
      <c r="M73" s="67"/>
      <c r="N73" s="68"/>
      <c r="O73" s="73"/>
      <c r="P73" s="74"/>
      <c r="Q73" s="73"/>
      <c r="R73" s="74"/>
      <c r="S73" s="73"/>
      <c r="T73" s="74"/>
      <c r="U73" s="73"/>
      <c r="V73" s="74"/>
      <c r="W73" s="73"/>
      <c r="X73" s="73"/>
      <c r="Y73" s="74"/>
      <c r="Z73" s="78"/>
      <c r="AL73" s="43"/>
    </row>
    <row r="74" spans="1:38" ht="26" x14ac:dyDescent="0.35">
      <c r="A74" s="102" t="s">
        <v>105</v>
      </c>
      <c r="B74" s="107" t="s">
        <v>91</v>
      </c>
      <c r="C74" s="94">
        <v>1</v>
      </c>
      <c r="D74" s="95">
        <v>25000</v>
      </c>
      <c r="E74" s="81">
        <f>C74*D74</f>
        <v>25000</v>
      </c>
      <c r="F74" s="88">
        <f t="shared" ref="F74:F81" si="103">E74*655.957</f>
        <v>16398925</v>
      </c>
      <c r="G74" s="87">
        <f t="shared" ref="G74:G82" si="104">+H74*655.957</f>
        <v>16398925</v>
      </c>
      <c r="H74" s="88">
        <v>25000</v>
      </c>
      <c r="I74" s="48"/>
      <c r="J74" s="33">
        <f t="shared" ref="J74:J82" si="105">+I74/655.957</f>
        <v>0</v>
      </c>
      <c r="K74" s="48"/>
      <c r="L74" s="33">
        <f t="shared" ref="L74:L82" si="106">+K74/655.957</f>
        <v>0</v>
      </c>
      <c r="M74" s="67">
        <v>8619000</v>
      </c>
      <c r="N74" s="70">
        <f t="shared" ref="N74:N82" si="107">+M74/655.957</f>
        <v>13139.5807956924</v>
      </c>
      <c r="O74" s="73">
        <f t="shared" ref="O74:O82" si="108">I74+K74+M74</f>
        <v>8619000</v>
      </c>
      <c r="P74" s="74">
        <f t="shared" ref="P74:P82" si="109">+O74/655.957</f>
        <v>13139.5807956924</v>
      </c>
      <c r="Q74" s="73"/>
      <c r="R74" s="74">
        <f t="shared" ref="R74:R85" si="110">+Q74/655.957</f>
        <v>0</v>
      </c>
      <c r="S74" s="73"/>
      <c r="T74" s="74">
        <f t="shared" ref="T74:T85" si="111">+S74/655.957</f>
        <v>0</v>
      </c>
      <c r="U74" s="73">
        <f t="shared" ref="U74:U81" si="112">Q74-S74</f>
        <v>0</v>
      </c>
      <c r="V74" s="74">
        <f t="shared" ref="V74:V85" si="113">+U74/655.957</f>
        <v>0</v>
      </c>
      <c r="W74" s="194" t="e">
        <f t="shared" ref="W74:W85" si="114">S74/Q74</f>
        <v>#DIV/0!</v>
      </c>
      <c r="X74" s="73">
        <f t="shared" ref="X74:X85" si="115">+O74+S74</f>
        <v>8619000</v>
      </c>
      <c r="Y74" s="74">
        <f t="shared" ref="Y74:Y85" si="116">+X74/655.957</f>
        <v>13139.5807956924</v>
      </c>
      <c r="Z74" s="78"/>
    </row>
    <row r="75" spans="1:38" ht="26" x14ac:dyDescent="0.35">
      <c r="A75" s="102" t="s">
        <v>106</v>
      </c>
      <c r="B75" s="107" t="s">
        <v>91</v>
      </c>
      <c r="C75" s="94">
        <v>1</v>
      </c>
      <c r="D75" s="95">
        <v>30000</v>
      </c>
      <c r="E75" s="81">
        <f t="shared" ref="E75:E77" si="117">C75*D75</f>
        <v>30000</v>
      </c>
      <c r="F75" s="88">
        <f t="shared" si="103"/>
        <v>19678710</v>
      </c>
      <c r="G75" s="87">
        <f t="shared" si="104"/>
        <v>19678710</v>
      </c>
      <c r="H75" s="88">
        <v>30000</v>
      </c>
      <c r="I75" s="48">
        <v>16000000</v>
      </c>
      <c r="J75" s="33">
        <f t="shared" si="105"/>
        <v>24391.842757985662</v>
      </c>
      <c r="K75" s="48">
        <v>0</v>
      </c>
      <c r="L75" s="33">
        <f t="shared" si="106"/>
        <v>0</v>
      </c>
      <c r="M75" s="67">
        <v>10207186</v>
      </c>
      <c r="N75" s="70">
        <f t="shared" si="107"/>
        <v>15560.754744594538</v>
      </c>
      <c r="O75" s="73">
        <f t="shared" si="108"/>
        <v>26207186</v>
      </c>
      <c r="P75" s="74">
        <f t="shared" si="109"/>
        <v>39952.597502580204</v>
      </c>
      <c r="Q75" s="73"/>
      <c r="R75" s="74">
        <f t="shared" si="110"/>
        <v>0</v>
      </c>
      <c r="S75" s="73"/>
      <c r="T75" s="74">
        <f t="shared" si="111"/>
        <v>0</v>
      </c>
      <c r="U75" s="73">
        <f t="shared" si="112"/>
        <v>0</v>
      </c>
      <c r="V75" s="74">
        <f t="shared" si="113"/>
        <v>0</v>
      </c>
      <c r="W75" s="194" t="e">
        <f t="shared" si="114"/>
        <v>#DIV/0!</v>
      </c>
      <c r="X75" s="73">
        <f t="shared" si="115"/>
        <v>26207186</v>
      </c>
      <c r="Y75" s="74">
        <f t="shared" si="116"/>
        <v>39952.597502580204</v>
      </c>
      <c r="Z75" s="78"/>
    </row>
    <row r="76" spans="1:38" ht="39" x14ac:dyDescent="0.35">
      <c r="A76" s="102" t="s">
        <v>107</v>
      </c>
      <c r="B76" s="107" t="s">
        <v>91</v>
      </c>
      <c r="C76" s="94">
        <v>1</v>
      </c>
      <c r="D76" s="95">
        <v>100000</v>
      </c>
      <c r="E76" s="81">
        <f t="shared" si="117"/>
        <v>100000</v>
      </c>
      <c r="F76" s="88">
        <f t="shared" si="103"/>
        <v>65595700</v>
      </c>
      <c r="G76" s="87">
        <f t="shared" si="104"/>
        <v>0</v>
      </c>
      <c r="H76" s="88">
        <v>0</v>
      </c>
      <c r="I76" s="48">
        <v>2738150</v>
      </c>
      <c r="J76" s="33">
        <f t="shared" si="105"/>
        <v>4174.2827654861521</v>
      </c>
      <c r="K76" s="48"/>
      <c r="L76" s="33">
        <f t="shared" si="106"/>
        <v>0</v>
      </c>
      <c r="M76" s="67"/>
      <c r="N76" s="70">
        <f t="shared" si="107"/>
        <v>0</v>
      </c>
      <c r="O76" s="73">
        <f t="shared" si="108"/>
        <v>2738150</v>
      </c>
      <c r="P76" s="74">
        <f t="shared" si="109"/>
        <v>4174.2827654861521</v>
      </c>
      <c r="Q76" s="73"/>
      <c r="R76" s="74">
        <f t="shared" si="110"/>
        <v>0</v>
      </c>
      <c r="S76" s="73"/>
      <c r="T76" s="74">
        <f t="shared" si="111"/>
        <v>0</v>
      </c>
      <c r="U76" s="73">
        <f t="shared" si="112"/>
        <v>0</v>
      </c>
      <c r="V76" s="74">
        <f t="shared" si="113"/>
        <v>0</v>
      </c>
      <c r="W76" s="194" t="e">
        <f t="shared" si="114"/>
        <v>#DIV/0!</v>
      </c>
      <c r="X76" s="73">
        <f t="shared" si="115"/>
        <v>2738150</v>
      </c>
      <c r="Y76" s="74">
        <f t="shared" si="116"/>
        <v>4174.2827654861521</v>
      </c>
      <c r="Z76" s="78"/>
    </row>
    <row r="77" spans="1:38" ht="39" x14ac:dyDescent="0.35">
      <c r="A77" s="102" t="s">
        <v>108</v>
      </c>
      <c r="B77" s="107" t="s">
        <v>91</v>
      </c>
      <c r="C77" s="94">
        <v>5</v>
      </c>
      <c r="D77" s="95">
        <v>5000</v>
      </c>
      <c r="E77" s="81">
        <f t="shared" si="117"/>
        <v>25000</v>
      </c>
      <c r="F77" s="88">
        <f t="shared" si="103"/>
        <v>16398925</v>
      </c>
      <c r="G77" s="87">
        <f t="shared" si="104"/>
        <v>0</v>
      </c>
      <c r="H77" s="88">
        <v>0</v>
      </c>
      <c r="I77" s="48"/>
      <c r="J77" s="33">
        <f t="shared" si="105"/>
        <v>0</v>
      </c>
      <c r="K77" s="48"/>
      <c r="L77" s="33">
        <f t="shared" si="106"/>
        <v>0</v>
      </c>
      <c r="M77" s="67"/>
      <c r="N77" s="70">
        <f t="shared" si="107"/>
        <v>0</v>
      </c>
      <c r="O77" s="73">
        <f t="shared" si="108"/>
        <v>0</v>
      </c>
      <c r="P77" s="74">
        <f t="shared" si="109"/>
        <v>0</v>
      </c>
      <c r="Q77" s="73"/>
      <c r="R77" s="74">
        <f t="shared" si="110"/>
        <v>0</v>
      </c>
      <c r="S77" s="73"/>
      <c r="T77" s="74">
        <f t="shared" si="111"/>
        <v>0</v>
      </c>
      <c r="U77" s="73">
        <f t="shared" si="112"/>
        <v>0</v>
      </c>
      <c r="V77" s="74">
        <f t="shared" si="113"/>
        <v>0</v>
      </c>
      <c r="W77" s="194" t="e">
        <f t="shared" si="114"/>
        <v>#DIV/0!</v>
      </c>
      <c r="X77" s="73">
        <f t="shared" si="115"/>
        <v>0</v>
      </c>
      <c r="Y77" s="74">
        <f t="shared" si="116"/>
        <v>0</v>
      </c>
      <c r="Z77" s="78"/>
    </row>
    <row r="78" spans="1:38" x14ac:dyDescent="0.35">
      <c r="A78" s="102" t="s">
        <v>109</v>
      </c>
      <c r="B78" s="107" t="s">
        <v>91</v>
      </c>
      <c r="C78" s="94">
        <v>1</v>
      </c>
      <c r="D78" s="95">
        <v>40000</v>
      </c>
      <c r="E78" s="81">
        <f>C78*D78</f>
        <v>40000</v>
      </c>
      <c r="F78" s="88">
        <f t="shared" si="103"/>
        <v>26238280</v>
      </c>
      <c r="G78" s="87">
        <f t="shared" si="104"/>
        <v>16889580.835999999</v>
      </c>
      <c r="H78" s="88">
        <v>25748</v>
      </c>
      <c r="I78" s="48"/>
      <c r="J78" s="33">
        <f t="shared" si="105"/>
        <v>0</v>
      </c>
      <c r="K78" s="48">
        <v>4523776</v>
      </c>
      <c r="L78" s="33">
        <f t="shared" si="106"/>
        <v>6896.4520540218336</v>
      </c>
      <c r="M78" s="67">
        <v>26232198</v>
      </c>
      <c r="N78" s="70">
        <f t="shared" si="107"/>
        <v>39990.72805077162</v>
      </c>
      <c r="O78" s="73">
        <f t="shared" si="108"/>
        <v>30755974</v>
      </c>
      <c r="P78" s="74">
        <f t="shared" si="109"/>
        <v>46887.180104793457</v>
      </c>
      <c r="Q78" s="73"/>
      <c r="R78" s="74">
        <f t="shared" si="110"/>
        <v>0</v>
      </c>
      <c r="S78" s="73"/>
      <c r="T78" s="74">
        <f t="shared" si="111"/>
        <v>0</v>
      </c>
      <c r="U78" s="73">
        <f t="shared" si="112"/>
        <v>0</v>
      </c>
      <c r="V78" s="74">
        <f t="shared" si="113"/>
        <v>0</v>
      </c>
      <c r="W78" s="194" t="e">
        <f t="shared" si="114"/>
        <v>#DIV/0!</v>
      </c>
      <c r="X78" s="73">
        <f t="shared" si="115"/>
        <v>30755974</v>
      </c>
      <c r="Y78" s="74">
        <f t="shared" si="116"/>
        <v>46887.180104793457</v>
      </c>
      <c r="Z78" s="78"/>
    </row>
    <row r="79" spans="1:38" x14ac:dyDescent="0.35">
      <c r="A79" s="102" t="s">
        <v>110</v>
      </c>
      <c r="B79" s="107" t="s">
        <v>91</v>
      </c>
      <c r="C79" s="94">
        <v>2</v>
      </c>
      <c r="D79" s="95">
        <v>10000</v>
      </c>
      <c r="E79" s="81">
        <f>C79*D79</f>
        <v>20000</v>
      </c>
      <c r="F79" s="88">
        <f t="shared" si="103"/>
        <v>13119140</v>
      </c>
      <c r="G79" s="87">
        <f t="shared" si="104"/>
        <v>6559570</v>
      </c>
      <c r="H79" s="88">
        <v>10000</v>
      </c>
      <c r="I79" s="48">
        <v>7107460</v>
      </c>
      <c r="J79" s="33">
        <f t="shared" si="105"/>
        <v>10835.252920542047</v>
      </c>
      <c r="K79" s="48"/>
      <c r="L79" s="33">
        <f t="shared" si="106"/>
        <v>0</v>
      </c>
      <c r="M79" s="67"/>
      <c r="N79" s="70">
        <f t="shared" si="107"/>
        <v>0</v>
      </c>
      <c r="O79" s="73">
        <f t="shared" si="108"/>
        <v>7107460</v>
      </c>
      <c r="P79" s="74">
        <f t="shared" si="109"/>
        <v>10835.252920542047</v>
      </c>
      <c r="Q79" s="73">
        <v>23614452</v>
      </c>
      <c r="R79" s="74">
        <f t="shared" si="110"/>
        <v>36000</v>
      </c>
      <c r="S79" s="73">
        <f>21683647+1900000</f>
        <v>23583647</v>
      </c>
      <c r="T79" s="74">
        <f t="shared" si="111"/>
        <v>35953.038080240018</v>
      </c>
      <c r="U79" s="73">
        <f t="shared" si="112"/>
        <v>30805</v>
      </c>
      <c r="V79" s="74">
        <f t="shared" si="113"/>
        <v>46.961919759984269</v>
      </c>
      <c r="W79" s="194">
        <f t="shared" si="114"/>
        <v>0.99869550222888936</v>
      </c>
      <c r="X79" s="73">
        <f t="shared" si="115"/>
        <v>30691107</v>
      </c>
      <c r="Y79" s="74">
        <f t="shared" si="116"/>
        <v>46788.291000782061</v>
      </c>
      <c r="Z79" s="78"/>
    </row>
    <row r="80" spans="1:38" x14ac:dyDescent="0.35">
      <c r="A80" s="102" t="s">
        <v>111</v>
      </c>
      <c r="B80" s="107" t="s">
        <v>91</v>
      </c>
      <c r="C80" s="94">
        <v>3</v>
      </c>
      <c r="D80" s="95">
        <v>20000</v>
      </c>
      <c r="E80" s="81">
        <f t="shared" ref="E80:E81" si="118">C80*D80</f>
        <v>60000</v>
      </c>
      <c r="F80" s="88">
        <f t="shared" si="103"/>
        <v>39357420</v>
      </c>
      <c r="G80" s="87">
        <f t="shared" si="104"/>
        <v>0</v>
      </c>
      <c r="H80" s="88">
        <v>0</v>
      </c>
      <c r="I80" s="48"/>
      <c r="J80" s="33">
        <f t="shared" si="105"/>
        <v>0</v>
      </c>
      <c r="K80" s="48"/>
      <c r="L80" s="33">
        <f t="shared" si="106"/>
        <v>0</v>
      </c>
      <c r="M80" s="67"/>
      <c r="N80" s="70">
        <f t="shared" si="107"/>
        <v>0</v>
      </c>
      <c r="O80" s="73">
        <f t="shared" si="108"/>
        <v>0</v>
      </c>
      <c r="P80" s="74">
        <f t="shared" si="109"/>
        <v>0</v>
      </c>
      <c r="Q80" s="73">
        <v>0</v>
      </c>
      <c r="R80" s="74">
        <f t="shared" si="110"/>
        <v>0</v>
      </c>
      <c r="S80" s="73"/>
      <c r="T80" s="74">
        <f t="shared" si="111"/>
        <v>0</v>
      </c>
      <c r="U80" s="73">
        <f t="shared" si="112"/>
        <v>0</v>
      </c>
      <c r="V80" s="74">
        <f t="shared" si="113"/>
        <v>0</v>
      </c>
      <c r="W80" s="194" t="e">
        <f t="shared" si="114"/>
        <v>#DIV/0!</v>
      </c>
      <c r="X80" s="73">
        <f t="shared" si="115"/>
        <v>0</v>
      </c>
      <c r="Y80" s="74">
        <f t="shared" si="116"/>
        <v>0</v>
      </c>
      <c r="Z80" s="78"/>
    </row>
    <row r="81" spans="1:38" x14ac:dyDescent="0.35">
      <c r="A81" s="102" t="s">
        <v>112</v>
      </c>
      <c r="B81" s="107" t="s">
        <v>91</v>
      </c>
      <c r="C81" s="94">
        <v>1</v>
      </c>
      <c r="D81" s="95">
        <v>35000</v>
      </c>
      <c r="E81" s="81">
        <f t="shared" si="118"/>
        <v>35000</v>
      </c>
      <c r="F81" s="88">
        <f t="shared" si="103"/>
        <v>22958495</v>
      </c>
      <c r="G81" s="87">
        <f t="shared" si="104"/>
        <v>6559570</v>
      </c>
      <c r="H81" s="88">
        <v>10000</v>
      </c>
      <c r="I81" s="48"/>
      <c r="J81" s="33">
        <f t="shared" si="105"/>
        <v>0</v>
      </c>
      <c r="K81" s="48"/>
      <c r="L81" s="33">
        <f t="shared" si="106"/>
        <v>0</v>
      </c>
      <c r="M81" s="67"/>
      <c r="N81" s="70">
        <f t="shared" si="107"/>
        <v>0</v>
      </c>
      <c r="O81" s="73">
        <f t="shared" si="108"/>
        <v>0</v>
      </c>
      <c r="P81" s="74">
        <f t="shared" si="109"/>
        <v>0</v>
      </c>
      <c r="Q81" s="73"/>
      <c r="R81" s="74">
        <f t="shared" si="110"/>
        <v>0</v>
      </c>
      <c r="S81" s="73"/>
      <c r="T81" s="74">
        <f t="shared" si="111"/>
        <v>0</v>
      </c>
      <c r="U81" s="73">
        <f t="shared" si="112"/>
        <v>0</v>
      </c>
      <c r="V81" s="74">
        <f t="shared" si="113"/>
        <v>0</v>
      </c>
      <c r="W81" s="194" t="e">
        <f t="shared" si="114"/>
        <v>#DIV/0!</v>
      </c>
      <c r="X81" s="73">
        <f t="shared" si="115"/>
        <v>0</v>
      </c>
      <c r="Y81" s="74">
        <f t="shared" si="116"/>
        <v>0</v>
      </c>
      <c r="Z81" s="78"/>
    </row>
    <row r="82" spans="1:38" ht="26" x14ac:dyDescent="0.35">
      <c r="A82" s="102" t="s">
        <v>113</v>
      </c>
      <c r="B82" s="107" t="s">
        <v>91</v>
      </c>
      <c r="C82" s="94"/>
      <c r="D82" s="95"/>
      <c r="E82" s="81"/>
      <c r="F82" s="88"/>
      <c r="G82" s="87">
        <f t="shared" si="104"/>
        <v>0</v>
      </c>
      <c r="H82" s="88"/>
      <c r="I82" s="48"/>
      <c r="J82" s="33">
        <f t="shared" si="105"/>
        <v>0</v>
      </c>
      <c r="K82" s="48"/>
      <c r="L82" s="33">
        <f t="shared" si="106"/>
        <v>0</v>
      </c>
      <c r="M82" s="67">
        <f>350000+4001629</f>
        <v>4351629</v>
      </c>
      <c r="N82" s="70">
        <f t="shared" si="107"/>
        <v>6634.0156443181486</v>
      </c>
      <c r="O82" s="73">
        <f t="shared" si="108"/>
        <v>4351629</v>
      </c>
      <c r="P82" s="74">
        <f t="shared" si="109"/>
        <v>6634.0156443181486</v>
      </c>
      <c r="Q82" s="73">
        <v>13119140</v>
      </c>
      <c r="R82" s="74">
        <f t="shared" si="110"/>
        <v>20000</v>
      </c>
      <c r="S82" s="73">
        <f>9248451+3000000</f>
        <v>12248451</v>
      </c>
      <c r="T82" s="74">
        <f t="shared" si="111"/>
        <v>18672.643176305763</v>
      </c>
      <c r="U82" s="73">
        <f>Q82-S82</f>
        <v>870689</v>
      </c>
      <c r="V82" s="74">
        <f t="shared" si="113"/>
        <v>1327.356823694236</v>
      </c>
      <c r="W82" s="194">
        <f t="shared" si="114"/>
        <v>0.93363215881528816</v>
      </c>
      <c r="X82" s="73">
        <f t="shared" si="115"/>
        <v>16600080</v>
      </c>
      <c r="Y82" s="74">
        <f t="shared" si="116"/>
        <v>25306.658820623914</v>
      </c>
      <c r="Z82" s="78"/>
    </row>
    <row r="83" spans="1:38" x14ac:dyDescent="0.35">
      <c r="A83" s="193" t="s">
        <v>131</v>
      </c>
      <c r="B83" s="107"/>
      <c r="C83" s="94"/>
      <c r="D83" s="95"/>
      <c r="E83" s="81"/>
      <c r="F83" s="88"/>
      <c r="G83" s="87"/>
      <c r="H83" s="88"/>
      <c r="I83" s="188"/>
      <c r="J83" s="33"/>
      <c r="K83" s="189"/>
      <c r="L83" s="33"/>
      <c r="M83" s="190"/>
      <c r="N83" s="70"/>
      <c r="O83" s="191"/>
      <c r="P83" s="74"/>
      <c r="Q83" s="73"/>
      <c r="R83" s="74">
        <f t="shared" si="110"/>
        <v>0</v>
      </c>
      <c r="S83" s="73"/>
      <c r="T83" s="74">
        <f t="shared" si="111"/>
        <v>0</v>
      </c>
      <c r="U83" s="73">
        <f t="shared" ref="U83:U85" si="119">Q83-S83</f>
        <v>0</v>
      </c>
      <c r="V83" s="74">
        <f t="shared" si="113"/>
        <v>0</v>
      </c>
      <c r="W83" s="194" t="e">
        <f t="shared" si="114"/>
        <v>#DIV/0!</v>
      </c>
      <c r="X83" s="73">
        <f t="shared" si="115"/>
        <v>0</v>
      </c>
      <c r="Y83" s="74">
        <f t="shared" si="116"/>
        <v>0</v>
      </c>
      <c r="Z83" s="192"/>
    </row>
    <row r="84" spans="1:38" ht="26" x14ac:dyDescent="0.35">
      <c r="A84" s="193" t="s">
        <v>132</v>
      </c>
      <c r="B84" s="107"/>
      <c r="C84" s="94"/>
      <c r="D84" s="95"/>
      <c r="E84" s="81"/>
      <c r="F84" s="88"/>
      <c r="G84" s="87"/>
      <c r="H84" s="88"/>
      <c r="I84" s="188"/>
      <c r="J84" s="33"/>
      <c r="K84" s="189"/>
      <c r="L84" s="33"/>
      <c r="M84" s="190"/>
      <c r="N84" s="70"/>
      <c r="O84" s="191"/>
      <c r="P84" s="74"/>
      <c r="Q84" s="73">
        <v>6559570</v>
      </c>
      <c r="R84" s="74">
        <f t="shared" si="110"/>
        <v>10000</v>
      </c>
      <c r="S84" s="73">
        <v>5571900</v>
      </c>
      <c r="T84" s="74">
        <f t="shared" si="111"/>
        <v>8494.3067914512685</v>
      </c>
      <c r="U84" s="73">
        <f t="shared" si="119"/>
        <v>987670</v>
      </c>
      <c r="V84" s="74">
        <f t="shared" si="113"/>
        <v>1505.693208548731</v>
      </c>
      <c r="W84" s="194">
        <f t="shared" si="114"/>
        <v>0.84943067914512693</v>
      </c>
      <c r="X84" s="73">
        <f t="shared" si="115"/>
        <v>5571900</v>
      </c>
      <c r="Y84" s="74">
        <f t="shared" si="116"/>
        <v>8494.3067914512685</v>
      </c>
      <c r="Z84" s="192"/>
    </row>
    <row r="85" spans="1:38" ht="26" x14ac:dyDescent="0.35">
      <c r="A85" s="193" t="s">
        <v>133</v>
      </c>
      <c r="B85" s="107"/>
      <c r="C85" s="94"/>
      <c r="D85" s="95"/>
      <c r="E85" s="81"/>
      <c r="F85" s="88"/>
      <c r="G85" s="87"/>
      <c r="H85" s="88"/>
      <c r="I85" s="188"/>
      <c r="J85" s="33"/>
      <c r="K85" s="189"/>
      <c r="L85" s="33"/>
      <c r="M85" s="190"/>
      <c r="N85" s="70"/>
      <c r="O85" s="191"/>
      <c r="P85" s="74"/>
      <c r="Q85" s="73">
        <v>3279785</v>
      </c>
      <c r="R85" s="74">
        <f t="shared" si="110"/>
        <v>5000</v>
      </c>
      <c r="S85" s="73">
        <f>2341600+237284</f>
        <v>2578884</v>
      </c>
      <c r="T85" s="74">
        <f t="shared" si="111"/>
        <v>3931.4833136928182</v>
      </c>
      <c r="U85" s="73">
        <f t="shared" si="119"/>
        <v>700901</v>
      </c>
      <c r="V85" s="74">
        <f t="shared" si="113"/>
        <v>1068.5166863071818</v>
      </c>
      <c r="W85" s="194">
        <f t="shared" si="114"/>
        <v>0.78629666273856369</v>
      </c>
      <c r="X85" s="73">
        <f t="shared" si="115"/>
        <v>2578884</v>
      </c>
      <c r="Y85" s="74">
        <f t="shared" si="116"/>
        <v>3931.4833136928182</v>
      </c>
      <c r="Z85" s="192"/>
    </row>
    <row r="86" spans="1:38" x14ac:dyDescent="0.35">
      <c r="A86" s="114" t="s">
        <v>114</v>
      </c>
      <c r="B86" s="108"/>
      <c r="C86" s="38"/>
      <c r="D86" s="37"/>
      <c r="E86" s="39">
        <f>SUM(E74:E82)</f>
        <v>335000</v>
      </c>
      <c r="F86" s="53">
        <f>E86*655.957</f>
        <v>219745595</v>
      </c>
      <c r="G86" s="52">
        <f t="shared" ref="G86:P86" si="120">SUM(G74:G82)</f>
        <v>66086355.835999995</v>
      </c>
      <c r="H86" s="53">
        <f t="shared" si="120"/>
        <v>100748</v>
      </c>
      <c r="I86" s="111">
        <f t="shared" si="120"/>
        <v>25845610</v>
      </c>
      <c r="J86" s="53">
        <f t="shared" si="120"/>
        <v>39401.378444013855</v>
      </c>
      <c r="K86" s="53">
        <f t="shared" si="120"/>
        <v>4523776</v>
      </c>
      <c r="L86" s="53">
        <f t="shared" si="120"/>
        <v>6896.4520540218336</v>
      </c>
      <c r="M86" s="53">
        <f t="shared" si="120"/>
        <v>49410013</v>
      </c>
      <c r="N86" s="53">
        <f t="shared" si="120"/>
        <v>75325.079235376703</v>
      </c>
      <c r="O86" s="111">
        <f t="shared" si="120"/>
        <v>79779399</v>
      </c>
      <c r="P86" s="53">
        <f t="shared" si="120"/>
        <v>121622.90973341241</v>
      </c>
      <c r="Q86" s="53">
        <f>SUM(Q74:Q85)</f>
        <v>46572947</v>
      </c>
      <c r="R86" s="53">
        <f t="shared" ref="R86:Y86" si="121">SUM(R74:R85)</f>
        <v>71000</v>
      </c>
      <c r="S86" s="53">
        <f t="shared" si="121"/>
        <v>43982882</v>
      </c>
      <c r="T86" s="53">
        <f t="shared" si="121"/>
        <v>67051.471361689866</v>
      </c>
      <c r="U86" s="53">
        <f t="shared" ref="U86:V86" si="122">SUM(U74:U85)</f>
        <v>2590065</v>
      </c>
      <c r="V86" s="53">
        <f t="shared" si="122"/>
        <v>3948.5286383101329</v>
      </c>
      <c r="W86" s="97">
        <f>+S86/Q86</f>
        <v>0.94438692058718121</v>
      </c>
      <c r="X86" s="53">
        <f t="shared" si="121"/>
        <v>123762281</v>
      </c>
      <c r="Y86" s="53">
        <f t="shared" si="121"/>
        <v>188674.38109510226</v>
      </c>
      <c r="Z86" s="53" t="s">
        <v>0</v>
      </c>
    </row>
    <row r="87" spans="1:38" s="42" customFormat="1" ht="26" customHeight="1" x14ac:dyDescent="0.35">
      <c r="A87" s="54" t="s">
        <v>115</v>
      </c>
      <c r="B87" s="54"/>
      <c r="C87" s="44"/>
      <c r="D87" s="44"/>
      <c r="E87" s="44"/>
      <c r="F87" s="55"/>
      <c r="G87" s="50"/>
      <c r="H87" s="51"/>
      <c r="I87" s="50"/>
      <c r="J87" s="51"/>
      <c r="K87" s="50"/>
      <c r="L87" s="51"/>
      <c r="M87" s="67"/>
      <c r="N87" s="68"/>
      <c r="O87" s="73"/>
      <c r="P87" s="74"/>
      <c r="Q87" s="73"/>
      <c r="R87" s="74"/>
      <c r="S87" s="73"/>
      <c r="T87" s="74"/>
      <c r="U87" s="73"/>
      <c r="V87" s="74"/>
      <c r="W87" s="73"/>
      <c r="X87" s="73"/>
      <c r="Y87" s="74"/>
      <c r="Z87" s="78"/>
      <c r="AL87" s="43"/>
    </row>
    <row r="88" spans="1:38" ht="39" x14ac:dyDescent="0.35">
      <c r="A88" s="102" t="s">
        <v>116</v>
      </c>
      <c r="B88" s="107" t="s">
        <v>91</v>
      </c>
      <c r="C88" s="94">
        <v>1</v>
      </c>
      <c r="D88" s="95">
        <v>21000</v>
      </c>
      <c r="E88" s="81">
        <f>C88*D88</f>
        <v>21000</v>
      </c>
      <c r="F88" s="88">
        <f t="shared" ref="F88:F93" si="123">E88*655.957</f>
        <v>13775097</v>
      </c>
      <c r="G88" s="87">
        <f t="shared" ref="G88:G94" si="124">+H88*655.957</f>
        <v>13775097</v>
      </c>
      <c r="H88" s="88">
        <v>21000</v>
      </c>
      <c r="I88" s="48"/>
      <c r="J88" s="33">
        <f t="shared" ref="J88:J94" si="125">+I88/655.957</f>
        <v>0</v>
      </c>
      <c r="K88" s="48">
        <v>5598506</v>
      </c>
      <c r="L88" s="33">
        <f t="shared" ref="L88:L94" si="126">+K88/655.957</f>
        <v>8534.8673769774541</v>
      </c>
      <c r="M88" s="67">
        <f>12044939+1688466</f>
        <v>13733405</v>
      </c>
      <c r="N88" s="70">
        <f t="shared" ref="N88:N94" si="127">+M88/655.957</f>
        <v>20936.440955733378</v>
      </c>
      <c r="O88" s="73">
        <f t="shared" ref="O88:O94" si="128">I88+K88+M88</f>
        <v>19331911</v>
      </c>
      <c r="P88" s="74">
        <f t="shared" ref="P88:P93" si="129">+O88/655.957</f>
        <v>29471.308332710832</v>
      </c>
      <c r="Q88" s="73"/>
      <c r="R88" s="74">
        <f t="shared" ref="R88:R97" si="130">+Q88/655.957</f>
        <v>0</v>
      </c>
      <c r="S88" s="73">
        <v>0</v>
      </c>
      <c r="T88" s="74">
        <f t="shared" ref="T88:T97" si="131">+S88/655.957</f>
        <v>0</v>
      </c>
      <c r="U88" s="73">
        <f t="shared" ref="U88:U89" si="132">Q88-S88</f>
        <v>0</v>
      </c>
      <c r="V88" s="74">
        <f t="shared" ref="V88:V97" si="133">+U88/655.957</f>
        <v>0</v>
      </c>
      <c r="W88" s="194" t="e">
        <f t="shared" ref="W88:W97" si="134">S88/Q88</f>
        <v>#DIV/0!</v>
      </c>
      <c r="X88" s="73">
        <f t="shared" ref="X88:X97" si="135">+O88+S88</f>
        <v>19331911</v>
      </c>
      <c r="Y88" s="74">
        <f t="shared" ref="Y88:Y97" si="136">+X88/655.957</f>
        <v>29471.308332710832</v>
      </c>
      <c r="Z88" s="78"/>
    </row>
    <row r="89" spans="1:38" ht="26" x14ac:dyDescent="0.35">
      <c r="A89" s="102" t="s">
        <v>117</v>
      </c>
      <c r="B89" s="107" t="s">
        <v>91</v>
      </c>
      <c r="C89" s="94">
        <v>1</v>
      </c>
      <c r="D89" s="95">
        <v>80000</v>
      </c>
      <c r="E89" s="81">
        <f t="shared" ref="E89:E94" si="137">C89*D89</f>
        <v>80000</v>
      </c>
      <c r="F89" s="88">
        <f t="shared" si="123"/>
        <v>52476560</v>
      </c>
      <c r="G89" s="87">
        <f t="shared" si="124"/>
        <v>52476560</v>
      </c>
      <c r="H89" s="88">
        <v>80000</v>
      </c>
      <c r="I89" s="48">
        <f>3213824+2340000</f>
        <v>5553824</v>
      </c>
      <c r="J89" s="33">
        <f t="shared" si="125"/>
        <v>8466.7501070954349</v>
      </c>
      <c r="K89" s="48">
        <v>8299620</v>
      </c>
      <c r="L89" s="33">
        <f t="shared" si="126"/>
        <v>12652.689124439559</v>
      </c>
      <c r="M89" s="67">
        <v>18452300</v>
      </c>
      <c r="N89" s="70">
        <f t="shared" si="127"/>
        <v>28130.350007698675</v>
      </c>
      <c r="O89" s="73">
        <f t="shared" si="128"/>
        <v>32305744</v>
      </c>
      <c r="P89" s="74">
        <f t="shared" si="129"/>
        <v>49249.789239233673</v>
      </c>
      <c r="Q89" s="73">
        <v>3464765</v>
      </c>
      <c r="R89" s="74">
        <f t="shared" si="130"/>
        <v>5282.0001920857621</v>
      </c>
      <c r="S89" s="73">
        <v>3464500</v>
      </c>
      <c r="T89" s="74">
        <f t="shared" si="131"/>
        <v>5281.5962021900823</v>
      </c>
      <c r="U89" s="73">
        <f t="shared" si="132"/>
        <v>265</v>
      </c>
      <c r="V89" s="74">
        <f t="shared" si="133"/>
        <v>0.40398989567913751</v>
      </c>
      <c r="W89" s="194">
        <f t="shared" si="134"/>
        <v>0.99992351573627647</v>
      </c>
      <c r="X89" s="73">
        <f t="shared" si="135"/>
        <v>35770244</v>
      </c>
      <c r="Y89" s="74">
        <f t="shared" si="136"/>
        <v>54531.38544142375</v>
      </c>
      <c r="Z89" s="78"/>
    </row>
    <row r="90" spans="1:38" ht="26" x14ac:dyDescent="0.35">
      <c r="A90" s="102" t="s">
        <v>118</v>
      </c>
      <c r="B90" s="107" t="s">
        <v>91</v>
      </c>
      <c r="C90" s="94">
        <v>1</v>
      </c>
      <c r="D90" s="95">
        <v>25000</v>
      </c>
      <c r="E90" s="81">
        <f t="shared" si="137"/>
        <v>25000</v>
      </c>
      <c r="F90" s="88">
        <f t="shared" si="123"/>
        <v>16398925</v>
      </c>
      <c r="G90" s="87">
        <f t="shared" si="124"/>
        <v>16398925</v>
      </c>
      <c r="H90" s="88">
        <v>25000</v>
      </c>
      <c r="I90" s="48"/>
      <c r="J90" s="33">
        <f t="shared" si="125"/>
        <v>0</v>
      </c>
      <c r="K90" s="48"/>
      <c r="L90" s="33">
        <f t="shared" si="126"/>
        <v>0</v>
      </c>
      <c r="M90" s="67">
        <f>3044700+1981412</f>
        <v>5026112</v>
      </c>
      <c r="N90" s="70">
        <f t="shared" si="127"/>
        <v>7662.2583492515514</v>
      </c>
      <c r="O90" s="73">
        <f t="shared" si="128"/>
        <v>5026112</v>
      </c>
      <c r="P90" s="74">
        <f t="shared" si="129"/>
        <v>7662.2583492515514</v>
      </c>
      <c r="Q90" s="73"/>
      <c r="R90" s="74">
        <f t="shared" si="130"/>
        <v>0</v>
      </c>
      <c r="S90" s="73"/>
      <c r="T90" s="74">
        <f t="shared" si="131"/>
        <v>0</v>
      </c>
      <c r="U90" s="73"/>
      <c r="V90" s="74">
        <f t="shared" si="133"/>
        <v>0</v>
      </c>
      <c r="W90" s="194" t="e">
        <f t="shared" si="134"/>
        <v>#DIV/0!</v>
      </c>
      <c r="X90" s="73">
        <f t="shared" si="135"/>
        <v>5026112</v>
      </c>
      <c r="Y90" s="74">
        <f t="shared" si="136"/>
        <v>7662.2583492515514</v>
      </c>
      <c r="Z90" s="78"/>
    </row>
    <row r="91" spans="1:38" x14ac:dyDescent="0.35">
      <c r="A91" s="102" t="s">
        <v>119</v>
      </c>
      <c r="B91" s="107" t="s">
        <v>91</v>
      </c>
      <c r="C91" s="94">
        <v>4</v>
      </c>
      <c r="D91" s="95">
        <v>8000</v>
      </c>
      <c r="E91" s="81">
        <f t="shared" si="137"/>
        <v>32000</v>
      </c>
      <c r="F91" s="88">
        <f t="shared" si="123"/>
        <v>20990624</v>
      </c>
      <c r="G91" s="87">
        <f t="shared" si="124"/>
        <v>20990624</v>
      </c>
      <c r="H91" s="88">
        <v>32000</v>
      </c>
      <c r="I91" s="48"/>
      <c r="J91" s="33">
        <f t="shared" si="125"/>
        <v>0</v>
      </c>
      <c r="K91" s="48"/>
      <c r="L91" s="33">
        <f t="shared" si="126"/>
        <v>0</v>
      </c>
      <c r="M91" s="67">
        <v>7000000</v>
      </c>
      <c r="N91" s="70">
        <f t="shared" si="127"/>
        <v>10671.431206618727</v>
      </c>
      <c r="O91" s="73">
        <f t="shared" si="128"/>
        <v>7000000</v>
      </c>
      <c r="P91" s="74">
        <f t="shared" si="129"/>
        <v>10671.431206618727</v>
      </c>
      <c r="Q91" s="73"/>
      <c r="R91" s="74">
        <f t="shared" si="130"/>
        <v>0</v>
      </c>
      <c r="S91" s="73"/>
      <c r="T91" s="74">
        <f t="shared" si="131"/>
        <v>0</v>
      </c>
      <c r="U91" s="73"/>
      <c r="V91" s="74">
        <f t="shared" si="133"/>
        <v>0</v>
      </c>
      <c r="W91" s="194" t="e">
        <f t="shared" si="134"/>
        <v>#DIV/0!</v>
      </c>
      <c r="X91" s="73">
        <f t="shared" si="135"/>
        <v>7000000</v>
      </c>
      <c r="Y91" s="74">
        <f t="shared" si="136"/>
        <v>10671.431206618727</v>
      </c>
      <c r="Z91" s="78"/>
    </row>
    <row r="92" spans="1:38" x14ac:dyDescent="0.35">
      <c r="A92" s="102" t="s">
        <v>120</v>
      </c>
      <c r="B92" s="107" t="s">
        <v>91</v>
      </c>
      <c r="C92" s="94">
        <v>8</v>
      </c>
      <c r="D92" s="95">
        <v>3100</v>
      </c>
      <c r="E92" s="81">
        <f t="shared" si="137"/>
        <v>24800</v>
      </c>
      <c r="F92" s="88">
        <f t="shared" si="123"/>
        <v>16267733.6</v>
      </c>
      <c r="G92" s="87">
        <f t="shared" si="124"/>
        <v>16267733.6</v>
      </c>
      <c r="H92" s="88">
        <v>24800</v>
      </c>
      <c r="I92" s="48"/>
      <c r="J92" s="33">
        <f t="shared" si="125"/>
        <v>0</v>
      </c>
      <c r="K92" s="48">
        <v>3237000</v>
      </c>
      <c r="L92" s="33">
        <f t="shared" si="126"/>
        <v>4934.7746879749739</v>
      </c>
      <c r="M92" s="67"/>
      <c r="N92" s="70">
        <f t="shared" si="127"/>
        <v>0</v>
      </c>
      <c r="O92" s="73">
        <f t="shared" si="128"/>
        <v>3237000</v>
      </c>
      <c r="P92" s="74">
        <f t="shared" si="129"/>
        <v>4934.7746879749739</v>
      </c>
      <c r="Q92" s="73"/>
      <c r="R92" s="74">
        <f t="shared" si="130"/>
        <v>0</v>
      </c>
      <c r="S92" s="73"/>
      <c r="T92" s="74">
        <f t="shared" si="131"/>
        <v>0</v>
      </c>
      <c r="U92" s="73"/>
      <c r="V92" s="74">
        <f t="shared" si="133"/>
        <v>0</v>
      </c>
      <c r="W92" s="194" t="e">
        <f t="shared" si="134"/>
        <v>#DIV/0!</v>
      </c>
      <c r="X92" s="73">
        <f t="shared" si="135"/>
        <v>3237000</v>
      </c>
      <c r="Y92" s="74">
        <f t="shared" si="136"/>
        <v>4934.7746879749739</v>
      </c>
      <c r="Z92" s="78"/>
    </row>
    <row r="93" spans="1:38" ht="26" x14ac:dyDescent="0.35">
      <c r="A93" s="102" t="s">
        <v>121</v>
      </c>
      <c r="B93" s="107" t="s">
        <v>91</v>
      </c>
      <c r="C93" s="94">
        <v>1</v>
      </c>
      <c r="D93" s="95">
        <v>20000</v>
      </c>
      <c r="E93" s="81">
        <f t="shared" si="137"/>
        <v>20000</v>
      </c>
      <c r="F93" s="88">
        <f t="shared" si="123"/>
        <v>13119140</v>
      </c>
      <c r="G93" s="87">
        <f t="shared" si="124"/>
        <v>0</v>
      </c>
      <c r="H93" s="88">
        <v>0</v>
      </c>
      <c r="I93" s="48"/>
      <c r="J93" s="33">
        <f t="shared" si="125"/>
        <v>0</v>
      </c>
      <c r="K93" s="48"/>
      <c r="L93" s="33">
        <f t="shared" si="126"/>
        <v>0</v>
      </c>
      <c r="M93" s="67"/>
      <c r="N93" s="70">
        <f t="shared" si="127"/>
        <v>0</v>
      </c>
      <c r="O93" s="73">
        <f t="shared" si="128"/>
        <v>0</v>
      </c>
      <c r="P93" s="74">
        <f t="shared" si="129"/>
        <v>0</v>
      </c>
      <c r="Q93" s="73"/>
      <c r="R93" s="74">
        <f t="shared" si="130"/>
        <v>0</v>
      </c>
      <c r="S93" s="73"/>
      <c r="T93" s="74">
        <f t="shared" si="131"/>
        <v>0</v>
      </c>
      <c r="U93" s="73"/>
      <c r="V93" s="74">
        <f t="shared" si="133"/>
        <v>0</v>
      </c>
      <c r="W93" s="194" t="e">
        <f t="shared" si="134"/>
        <v>#DIV/0!</v>
      </c>
      <c r="X93" s="73">
        <f t="shared" si="135"/>
        <v>0</v>
      </c>
      <c r="Y93" s="74">
        <f t="shared" si="136"/>
        <v>0</v>
      </c>
      <c r="Z93" s="78"/>
    </row>
    <row r="94" spans="1:38" x14ac:dyDescent="0.35">
      <c r="A94" s="102" t="s">
        <v>122</v>
      </c>
      <c r="B94" s="107" t="s">
        <v>91</v>
      </c>
      <c r="C94" s="94">
        <v>1</v>
      </c>
      <c r="D94" s="95">
        <v>35000</v>
      </c>
      <c r="E94" s="81">
        <f t="shared" si="137"/>
        <v>35000</v>
      </c>
      <c r="F94" s="88">
        <f>E94*655.957</f>
        <v>22958495</v>
      </c>
      <c r="G94" s="87">
        <f t="shared" si="124"/>
        <v>22958495</v>
      </c>
      <c r="H94" s="88">
        <v>35000</v>
      </c>
      <c r="I94" s="48"/>
      <c r="J94" s="33">
        <f t="shared" si="125"/>
        <v>0</v>
      </c>
      <c r="K94" s="48"/>
      <c r="L94" s="33">
        <f t="shared" si="126"/>
        <v>0</v>
      </c>
      <c r="M94" s="67">
        <v>26540040</v>
      </c>
      <c r="N94" s="70">
        <f t="shared" si="127"/>
        <v>40460.03015441561</v>
      </c>
      <c r="O94" s="73">
        <f t="shared" si="128"/>
        <v>26540040</v>
      </c>
      <c r="P94" s="74">
        <f>+O94/655.957</f>
        <v>40460.03015441561</v>
      </c>
      <c r="Q94" s="73"/>
      <c r="R94" s="74">
        <f t="shared" si="130"/>
        <v>0</v>
      </c>
      <c r="S94" s="73"/>
      <c r="T94" s="74">
        <f t="shared" si="131"/>
        <v>0</v>
      </c>
      <c r="U94" s="73"/>
      <c r="V94" s="74">
        <f t="shared" si="133"/>
        <v>0</v>
      </c>
      <c r="W94" s="194" t="e">
        <f t="shared" si="134"/>
        <v>#DIV/0!</v>
      </c>
      <c r="X94" s="73">
        <f t="shared" si="135"/>
        <v>26540040</v>
      </c>
      <c r="Y94" s="74">
        <f t="shared" si="136"/>
        <v>40460.03015441561</v>
      </c>
      <c r="Z94" s="78"/>
    </row>
    <row r="95" spans="1:38" ht="26" x14ac:dyDescent="0.35">
      <c r="A95" s="193" t="s">
        <v>134</v>
      </c>
      <c r="B95" s="107"/>
      <c r="C95" s="94"/>
      <c r="D95" s="95"/>
      <c r="E95" s="81"/>
      <c r="F95" s="88"/>
      <c r="G95" s="87"/>
      <c r="H95" s="88"/>
      <c r="I95" s="188"/>
      <c r="J95" s="33"/>
      <c r="K95" s="189"/>
      <c r="L95" s="33"/>
      <c r="M95" s="190"/>
      <c r="N95" s="70"/>
      <c r="O95" s="191"/>
      <c r="P95" s="74"/>
      <c r="Q95" s="73">
        <v>1639892.5</v>
      </c>
      <c r="R95" s="74">
        <f t="shared" si="130"/>
        <v>2500</v>
      </c>
      <c r="S95" s="73">
        <v>1640000</v>
      </c>
      <c r="T95" s="74">
        <f t="shared" si="131"/>
        <v>2500.1638826935305</v>
      </c>
      <c r="U95" s="73">
        <f t="shared" ref="U95:U97" si="138">Q95-S95</f>
        <v>-107.5</v>
      </c>
      <c r="V95" s="74">
        <f t="shared" si="133"/>
        <v>-0.16388269353021617</v>
      </c>
      <c r="W95" s="194">
        <f t="shared" si="134"/>
        <v>1.0000655530774121</v>
      </c>
      <c r="X95" s="73">
        <f t="shared" si="135"/>
        <v>1640000</v>
      </c>
      <c r="Y95" s="74">
        <f t="shared" si="136"/>
        <v>2500.1638826935305</v>
      </c>
      <c r="Z95" s="192"/>
    </row>
    <row r="96" spans="1:38" x14ac:dyDescent="0.35">
      <c r="A96" s="193" t="s">
        <v>135</v>
      </c>
      <c r="B96" s="107"/>
      <c r="C96" s="94"/>
      <c r="D96" s="95"/>
      <c r="E96" s="81"/>
      <c r="F96" s="88"/>
      <c r="G96" s="87"/>
      <c r="H96" s="88"/>
      <c r="I96" s="188"/>
      <c r="J96" s="33"/>
      <c r="K96" s="189"/>
      <c r="L96" s="33"/>
      <c r="M96" s="190"/>
      <c r="N96" s="70"/>
      <c r="O96" s="191"/>
      <c r="P96" s="74"/>
      <c r="Q96" s="73">
        <v>1311914</v>
      </c>
      <c r="R96" s="74">
        <f t="shared" si="130"/>
        <v>2000</v>
      </c>
      <c r="S96" s="73">
        <f>960000+168580</f>
        <v>1128580</v>
      </c>
      <c r="T96" s="74">
        <f t="shared" si="131"/>
        <v>1720.509118737966</v>
      </c>
      <c r="U96" s="73">
        <f t="shared" si="138"/>
        <v>183334</v>
      </c>
      <c r="V96" s="74">
        <f t="shared" si="133"/>
        <v>279.49088126203395</v>
      </c>
      <c r="W96" s="194">
        <f t="shared" si="134"/>
        <v>0.86025455936898299</v>
      </c>
      <c r="X96" s="73">
        <f t="shared" si="135"/>
        <v>1128580</v>
      </c>
      <c r="Y96" s="74">
        <f t="shared" si="136"/>
        <v>1720.509118737966</v>
      </c>
      <c r="Z96" s="192"/>
    </row>
    <row r="97" spans="1:26" ht="26" x14ac:dyDescent="0.35">
      <c r="A97" s="193" t="s">
        <v>136</v>
      </c>
      <c r="B97" s="107"/>
      <c r="C97" s="94"/>
      <c r="D97" s="95"/>
      <c r="E97" s="81"/>
      <c r="F97" s="88"/>
      <c r="G97" s="87"/>
      <c r="H97" s="88"/>
      <c r="I97" s="188"/>
      <c r="J97" s="33"/>
      <c r="K97" s="189"/>
      <c r="L97" s="33"/>
      <c r="M97" s="190"/>
      <c r="N97" s="70"/>
      <c r="O97" s="191"/>
      <c r="P97" s="74"/>
      <c r="Q97" s="73">
        <v>3279785</v>
      </c>
      <c r="R97" s="74">
        <f t="shared" si="130"/>
        <v>5000</v>
      </c>
      <c r="S97" s="73">
        <v>2948092</v>
      </c>
      <c r="T97" s="74">
        <f t="shared" si="131"/>
        <v>4494.3372812547168</v>
      </c>
      <c r="U97" s="73">
        <f t="shared" si="138"/>
        <v>331693</v>
      </c>
      <c r="V97" s="74">
        <f t="shared" si="133"/>
        <v>505.6627187452836</v>
      </c>
      <c r="W97" s="194">
        <f t="shared" si="134"/>
        <v>0.89886745625094333</v>
      </c>
      <c r="X97" s="73">
        <f t="shared" si="135"/>
        <v>2948092</v>
      </c>
      <c r="Y97" s="74">
        <f t="shared" si="136"/>
        <v>4494.3372812547168</v>
      </c>
      <c r="Z97" s="192"/>
    </row>
    <row r="98" spans="1:26" x14ac:dyDescent="0.35">
      <c r="A98" s="114" t="s">
        <v>123</v>
      </c>
      <c r="B98" s="108"/>
      <c r="C98" s="38"/>
      <c r="D98" s="37"/>
      <c r="E98" s="39">
        <f>SUM(E88:E94)</f>
        <v>237800</v>
      </c>
      <c r="F98" s="53">
        <f>E98*655.957</f>
        <v>155986574.59999999</v>
      </c>
      <c r="G98" s="52">
        <f>SUM(G88:G94)</f>
        <v>142867434.59999999</v>
      </c>
      <c r="H98" s="53">
        <f>SUM(H88:H94)</f>
        <v>217800</v>
      </c>
      <c r="I98" s="111">
        <f t="shared" ref="I98:O98" si="139">SUM(I88:I94)</f>
        <v>5553824</v>
      </c>
      <c r="J98" s="53">
        <f t="shared" si="139"/>
        <v>8466.7501070954349</v>
      </c>
      <c r="K98" s="53">
        <f t="shared" si="139"/>
        <v>17135126</v>
      </c>
      <c r="L98" s="53">
        <f t="shared" si="139"/>
        <v>26122.331189391989</v>
      </c>
      <c r="M98" s="53">
        <f t="shared" si="139"/>
        <v>70751857</v>
      </c>
      <c r="N98" s="53">
        <f t="shared" si="139"/>
        <v>107860.51067371794</v>
      </c>
      <c r="O98" s="111">
        <f t="shared" si="139"/>
        <v>93440807</v>
      </c>
      <c r="P98" s="53">
        <f>SUM(P88:P97)</f>
        <v>142449.59197020537</v>
      </c>
      <c r="Q98" s="53">
        <f t="shared" ref="Q98:Y98" si="140">SUM(Q88:Q97)</f>
        <v>9696356.5</v>
      </c>
      <c r="R98" s="53">
        <f>SUM(R88:R97)</f>
        <v>14782.000192085761</v>
      </c>
      <c r="S98" s="53">
        <f t="shared" si="140"/>
        <v>9181172</v>
      </c>
      <c r="T98" s="53">
        <f t="shared" si="140"/>
        <v>13996.606484876296</v>
      </c>
      <c r="U98" s="53">
        <f t="shared" ref="U98:V98" si="141">SUM(U88:U97)</f>
        <v>515184.5</v>
      </c>
      <c r="V98" s="53">
        <f t="shared" si="141"/>
        <v>785.39370720946647</v>
      </c>
      <c r="W98" s="97">
        <f t="shared" ref="W98:W100" si="142">+S98/Q98</f>
        <v>0.94686823860075686</v>
      </c>
      <c r="X98" s="53">
        <f t="shared" si="140"/>
        <v>102621979</v>
      </c>
      <c r="Y98" s="53">
        <f t="shared" si="140"/>
        <v>156446.19845508167</v>
      </c>
      <c r="Z98" s="97"/>
    </row>
    <row r="99" spans="1:26" x14ac:dyDescent="0.35">
      <c r="A99" s="114" t="s">
        <v>124</v>
      </c>
      <c r="B99" s="108"/>
      <c r="C99" s="38"/>
      <c r="D99" s="37"/>
      <c r="E99" s="39">
        <f>E61+E72+E86+E98</f>
        <v>1202232.658482187</v>
      </c>
      <c r="F99" s="53">
        <f>E99*655.957</f>
        <v>788612927.95999992</v>
      </c>
      <c r="G99" s="52">
        <f t="shared" ref="G99:Q99" si="143">G61+G72+G86+G98</f>
        <v>594284354.796</v>
      </c>
      <c r="H99" s="53">
        <f t="shared" si="143"/>
        <v>905980.65848218708</v>
      </c>
      <c r="I99" s="111">
        <f t="shared" si="143"/>
        <v>138394538</v>
      </c>
      <c r="J99" s="53">
        <f t="shared" si="143"/>
        <v>210981.11309125443</v>
      </c>
      <c r="K99" s="53">
        <f t="shared" si="143"/>
        <v>198994730</v>
      </c>
      <c r="L99" s="53">
        <f t="shared" si="143"/>
        <v>303365.51023923827</v>
      </c>
      <c r="M99" s="53">
        <f t="shared" si="143"/>
        <v>232018281.90004</v>
      </c>
      <c r="N99" s="53">
        <f t="shared" si="143"/>
        <v>353709.59056773537</v>
      </c>
      <c r="O99" s="111">
        <f t="shared" si="143"/>
        <v>569407549.90004003</v>
      </c>
      <c r="P99" s="53">
        <f t="shared" si="143"/>
        <v>868056.21389822825</v>
      </c>
      <c r="Q99" s="53">
        <f t="shared" si="143"/>
        <v>111067951.5</v>
      </c>
      <c r="R99" s="53">
        <f t="shared" ref="R99:Y99" si="144">R61+R72+R86+R98</f>
        <v>169322.00052747357</v>
      </c>
      <c r="S99" s="53">
        <f t="shared" si="144"/>
        <v>109402097</v>
      </c>
      <c r="T99" s="53">
        <f t="shared" si="144"/>
        <v>166782.42171361845</v>
      </c>
      <c r="U99" s="53">
        <f t="shared" ref="U99:V99" si="145">U61+U72+U86+U98</f>
        <v>1665854.5</v>
      </c>
      <c r="V99" s="53">
        <f t="shared" si="145"/>
        <v>2539.5788138551761</v>
      </c>
      <c r="W99" s="97">
        <f t="shared" si="142"/>
        <v>0.98500148352875672</v>
      </c>
      <c r="X99" s="53">
        <f t="shared" si="144"/>
        <v>678809646.90004003</v>
      </c>
      <c r="Y99" s="53">
        <f t="shared" si="144"/>
        <v>1034838.6356118465</v>
      </c>
      <c r="Z99" s="97"/>
    </row>
    <row r="100" spans="1:26" x14ac:dyDescent="0.35">
      <c r="A100" s="115" t="s">
        <v>58</v>
      </c>
      <c r="B100" s="110"/>
      <c r="C100" s="40"/>
      <c r="D100" s="41"/>
      <c r="E100" s="39">
        <f>E45+E99</f>
        <v>1887597.658482187</v>
      </c>
      <c r="F100" s="53">
        <f>+E100*655.957</f>
        <v>1238182897.2649999</v>
      </c>
      <c r="G100" s="52">
        <f t="shared" ref="G100:Q100" si="146">G45+G99</f>
        <v>969836136.22100008</v>
      </c>
      <c r="H100" s="53">
        <f t="shared" si="146"/>
        <v>1478505.658482187</v>
      </c>
      <c r="I100" s="111">
        <f t="shared" si="146"/>
        <v>240960645</v>
      </c>
      <c r="J100" s="53">
        <f t="shared" si="146"/>
        <v>367342.13523142517</v>
      </c>
      <c r="K100" s="53">
        <f t="shared" si="146"/>
        <v>287400602.28250003</v>
      </c>
      <c r="L100" s="53">
        <f t="shared" si="146"/>
        <v>438139.39371406974</v>
      </c>
      <c r="M100" s="53">
        <f t="shared" si="146"/>
        <v>330997635.27693999</v>
      </c>
      <c r="N100" s="53">
        <f t="shared" si="146"/>
        <v>504602.64205876301</v>
      </c>
      <c r="O100" s="111">
        <f t="shared" si="146"/>
        <v>859358882.55944002</v>
      </c>
      <c r="P100" s="53">
        <f t="shared" si="146"/>
        <v>1310084.1710042581</v>
      </c>
      <c r="Q100" s="53">
        <f t="shared" si="146"/>
        <v>200956363</v>
      </c>
      <c r="R100" s="53">
        <f t="shared" ref="R100:Y100" si="147">R45+R99</f>
        <v>306356.00046954292</v>
      </c>
      <c r="S100" s="53">
        <f t="shared" si="147"/>
        <v>198843899.09347999</v>
      </c>
      <c r="T100" s="53">
        <f t="shared" si="147"/>
        <v>303135.57000455825</v>
      </c>
      <c r="U100" s="53">
        <f t="shared" ref="U100:V100" si="148">U45+U99</f>
        <v>2112463.9065199997</v>
      </c>
      <c r="V100" s="53">
        <f t="shared" si="148"/>
        <v>3220.4304649847463</v>
      </c>
      <c r="W100" s="97">
        <f t="shared" si="142"/>
        <v>0.98948794715935418</v>
      </c>
      <c r="X100" s="53">
        <f t="shared" si="147"/>
        <v>1058202781.65292</v>
      </c>
      <c r="Y100" s="53">
        <f t="shared" si="147"/>
        <v>1613219.7410088163</v>
      </c>
      <c r="Z100" s="97"/>
    </row>
    <row r="101" spans="1:26" ht="26" x14ac:dyDescent="0.35">
      <c r="A101" s="102" t="s">
        <v>59</v>
      </c>
      <c r="B101" s="107"/>
      <c r="C101" s="85"/>
      <c r="D101" s="89"/>
      <c r="E101" s="81">
        <f>E100*0/100</f>
        <v>0</v>
      </c>
      <c r="F101" s="88">
        <f>+E101*655.957</f>
        <v>0</v>
      </c>
      <c r="G101" s="87"/>
      <c r="H101" s="88"/>
      <c r="I101" s="48"/>
      <c r="J101" s="33"/>
      <c r="K101" s="48"/>
      <c r="L101" s="33"/>
      <c r="M101" s="67">
        <v>0</v>
      </c>
      <c r="N101" s="70">
        <f t="shared" ref="N101" si="149">+M101/655.957</f>
        <v>0</v>
      </c>
      <c r="O101" s="73"/>
      <c r="P101" s="74"/>
      <c r="Q101" s="73">
        <v>0</v>
      </c>
      <c r="R101" s="74"/>
      <c r="S101" s="73"/>
      <c r="T101" s="74"/>
      <c r="U101" s="73"/>
      <c r="V101" s="74"/>
      <c r="W101" s="73"/>
      <c r="X101" s="73"/>
      <c r="Y101" s="74"/>
      <c r="Z101" s="78"/>
    </row>
    <row r="102" spans="1:26" x14ac:dyDescent="0.35">
      <c r="A102" s="115" t="s">
        <v>60</v>
      </c>
      <c r="B102" s="110"/>
      <c r="C102" s="40"/>
      <c r="D102" s="41"/>
      <c r="E102" s="39">
        <f>E100+E101</f>
        <v>1887597.658482187</v>
      </c>
      <c r="F102" s="53">
        <f>+E102*655.957</f>
        <v>1238182897.2649999</v>
      </c>
      <c r="G102" s="52">
        <f>G100+G101</f>
        <v>969836136.22100008</v>
      </c>
      <c r="H102" s="53">
        <f t="shared" ref="H102" si="150">H100+H101</f>
        <v>1478505.658482187</v>
      </c>
      <c r="I102" s="111">
        <f t="shared" ref="I102" si="151">I100+I101</f>
        <v>240960645</v>
      </c>
      <c r="J102" s="53">
        <f t="shared" ref="J102" si="152">J100+J101</f>
        <v>367342.13523142517</v>
      </c>
      <c r="K102" s="53">
        <f t="shared" ref="K102" si="153">K100+K101</f>
        <v>287400602.28250003</v>
      </c>
      <c r="L102" s="53">
        <f t="shared" ref="L102" si="154">L100+L101</f>
        <v>438139.39371406974</v>
      </c>
      <c r="M102" s="53">
        <f>M100+M101</f>
        <v>330997635.27693999</v>
      </c>
      <c r="N102" s="53">
        <f t="shared" ref="N102" si="155">N100+N101</f>
        <v>504602.64205876301</v>
      </c>
      <c r="O102" s="111">
        <f t="shared" ref="O102" si="156">O100+O101</f>
        <v>859358882.55944002</v>
      </c>
      <c r="P102" s="53">
        <f>P100+P101</f>
        <v>1310084.1710042581</v>
      </c>
      <c r="Q102" s="53">
        <f t="shared" ref="Q102:Y102" si="157">Q100+Q101</f>
        <v>200956363</v>
      </c>
      <c r="R102" s="53">
        <f t="shared" si="157"/>
        <v>306356.00046954292</v>
      </c>
      <c r="S102" s="53">
        <f t="shared" si="157"/>
        <v>198843899.09347999</v>
      </c>
      <c r="T102" s="53">
        <f t="shared" si="157"/>
        <v>303135.57000455825</v>
      </c>
      <c r="U102" s="53">
        <f t="shared" ref="U102:W102" si="158">U100+U101</f>
        <v>2112463.9065199997</v>
      </c>
      <c r="V102" s="53">
        <f t="shared" si="158"/>
        <v>3220.4304649847463</v>
      </c>
      <c r="W102" s="97">
        <f t="shared" si="158"/>
        <v>0.98948794715935418</v>
      </c>
      <c r="X102" s="53">
        <f t="shared" si="157"/>
        <v>1058202781.65292</v>
      </c>
      <c r="Y102" s="53">
        <f t="shared" si="157"/>
        <v>1613219.7410088163</v>
      </c>
      <c r="Z102" s="97"/>
    </row>
    <row r="103" spans="1:26" ht="26" x14ac:dyDescent="0.35">
      <c r="A103" s="102" t="s">
        <v>61</v>
      </c>
      <c r="B103" s="107"/>
      <c r="C103" s="96">
        <v>8.2173741318337198E-2</v>
      </c>
      <c r="D103" s="89"/>
      <c r="E103" s="81">
        <v>162402.34151781304</v>
      </c>
      <c r="F103" s="88">
        <f>+E103*655.957</f>
        <v>106528952.73500009</v>
      </c>
      <c r="G103" s="87">
        <f>+H103*655.957</f>
        <v>79695063.779000089</v>
      </c>
      <c r="H103" s="88">
        <v>121494.34151781304</v>
      </c>
      <c r="I103" s="48">
        <f>+I102*C103-10</f>
        <v>19800627.710129682</v>
      </c>
      <c r="J103" s="33">
        <f t="shared" ref="J103" si="159">+I103/655.957</f>
        <v>30185.862350931056</v>
      </c>
      <c r="K103" s="48">
        <f>+K102*C103</f>
        <v>23616782.746696468</v>
      </c>
      <c r="L103" s="33">
        <f t="shared" ref="L103" si="160">+K103/655.957</f>
        <v>36003.55320043306</v>
      </c>
      <c r="M103" s="67">
        <f>+M102*C103</f>
        <v>27199314.05822859</v>
      </c>
      <c r="N103" s="70">
        <f>+M103/655.957</f>
        <v>41465.086977086285</v>
      </c>
      <c r="O103" s="73">
        <f>I103+K103+M103</f>
        <v>70616724.515054733</v>
      </c>
      <c r="P103" s="74">
        <f t="shared" ref="P103" si="161">+O103/655.957</f>
        <v>107654.50252845039</v>
      </c>
      <c r="Q103" s="73">
        <f>+Q102*8.21737413%</f>
        <v>16513336.185750891</v>
      </c>
      <c r="R103" s="74">
        <f t="shared" ref="R103" si="162">+Q103/655.957</f>
        <v>25174.418728286902</v>
      </c>
      <c r="S103" s="73">
        <f>+S102*C103</f>
        <v>16339747.12683717</v>
      </c>
      <c r="T103" s="74">
        <f t="shared" ref="T103" si="163">+S103/655.957</f>
        <v>24909.783913941264</v>
      </c>
      <c r="U103" s="73">
        <f>Q103-S103</f>
        <v>173589.05891372077</v>
      </c>
      <c r="V103" s="74">
        <f t="shared" ref="V103" si="164">+U103/655.957</f>
        <v>264.63481434563664</v>
      </c>
      <c r="W103" s="194">
        <f t="shared" ref="W103" si="165">S103/Q103</f>
        <v>0.98948794738015999</v>
      </c>
      <c r="X103" s="73">
        <f>+O103+S103</f>
        <v>86956471.641891897</v>
      </c>
      <c r="Y103" s="74">
        <f t="shared" ref="Y103" si="166">+X103/655.957</f>
        <v>132564.28644239163</v>
      </c>
      <c r="Z103" s="78"/>
    </row>
    <row r="104" spans="1:26" x14ac:dyDescent="0.35">
      <c r="A104" s="115" t="s">
        <v>62</v>
      </c>
      <c r="B104" s="110"/>
      <c r="C104" s="40"/>
      <c r="D104" s="41"/>
      <c r="E104" s="39">
        <f>E102+E103</f>
        <v>2050000</v>
      </c>
      <c r="F104" s="53">
        <f>E104*655.957</f>
        <v>1344711850</v>
      </c>
      <c r="G104" s="52">
        <f>G102+G103</f>
        <v>1049531200.0000001</v>
      </c>
      <c r="H104" s="53">
        <f>H102+H103</f>
        <v>1600000</v>
      </c>
      <c r="I104" s="111">
        <f t="shared" ref="I104:Y104" si="167">I102+I103</f>
        <v>260761272.71012968</v>
      </c>
      <c r="J104" s="53">
        <f t="shared" si="167"/>
        <v>397527.99758235621</v>
      </c>
      <c r="K104" s="53">
        <f t="shared" si="167"/>
        <v>311017385.0291965</v>
      </c>
      <c r="L104" s="53">
        <f t="shared" si="167"/>
        <v>474142.94691450277</v>
      </c>
      <c r="M104" s="53">
        <f>M102+M103</f>
        <v>358196949.3351686</v>
      </c>
      <c r="N104" s="53">
        <f>N102+N103</f>
        <v>546067.72903584933</v>
      </c>
      <c r="O104" s="111">
        <f t="shared" si="167"/>
        <v>929975607.07449472</v>
      </c>
      <c r="P104" s="53">
        <f t="shared" si="167"/>
        <v>1417738.6735327085</v>
      </c>
      <c r="Q104" s="53">
        <f t="shared" si="167"/>
        <v>217469699.1857509</v>
      </c>
      <c r="R104" s="53">
        <f t="shared" si="167"/>
        <v>331530.41919782985</v>
      </c>
      <c r="S104" s="53">
        <f t="shared" si="167"/>
        <v>215183646.22031716</v>
      </c>
      <c r="T104" s="53">
        <f t="shared" si="167"/>
        <v>328045.35391849949</v>
      </c>
      <c r="U104" s="53">
        <f t="shared" ref="U104:V104" si="168">U102+U103</f>
        <v>2286052.9654337205</v>
      </c>
      <c r="V104" s="53">
        <f t="shared" si="168"/>
        <v>3485.065279330383</v>
      </c>
      <c r="W104" s="97">
        <f>+S104/Q104</f>
        <v>0.98948794717612076</v>
      </c>
      <c r="X104" s="53">
        <f t="shared" si="167"/>
        <v>1145159253.294812</v>
      </c>
      <c r="Y104" s="53">
        <f t="shared" si="167"/>
        <v>1745784.0274512079</v>
      </c>
      <c r="Z104" s="78"/>
    </row>
    <row r="105" spans="1:26" x14ac:dyDescent="0.35">
      <c r="A105" s="116" t="s">
        <v>63</v>
      </c>
      <c r="B105" s="110"/>
      <c r="C105" s="40"/>
      <c r="D105" s="41"/>
      <c r="E105" s="41"/>
      <c r="F105" s="57">
        <f>+E105*655.957</f>
        <v>0</v>
      </c>
      <c r="G105" s="56"/>
      <c r="H105" s="57"/>
      <c r="I105" s="112"/>
      <c r="J105" s="57"/>
      <c r="K105" s="57"/>
      <c r="L105" s="57"/>
      <c r="M105" s="57"/>
      <c r="N105" s="57"/>
      <c r="O105" s="112"/>
      <c r="P105" s="57"/>
      <c r="Q105" s="56"/>
      <c r="R105" s="57"/>
      <c r="S105" s="56"/>
      <c r="T105" s="57"/>
      <c r="U105" s="56"/>
      <c r="V105" s="57"/>
      <c r="W105" s="56"/>
      <c r="X105" s="56"/>
      <c r="Y105" s="57"/>
      <c r="Z105" s="78"/>
    </row>
    <row r="106" spans="1:26" ht="13.5" thickBot="1" x14ac:dyDescent="0.4">
      <c r="A106" s="172" t="s">
        <v>64</v>
      </c>
      <c r="B106" s="173"/>
      <c r="C106" s="174"/>
      <c r="D106" s="175"/>
      <c r="E106" s="175"/>
      <c r="F106" s="176">
        <f>+E106*655.957</f>
        <v>0</v>
      </c>
      <c r="G106" s="177"/>
      <c r="H106" s="176"/>
      <c r="I106" s="178"/>
      <c r="J106" s="176"/>
      <c r="K106" s="176"/>
      <c r="L106" s="176"/>
      <c r="M106" s="176"/>
      <c r="N106" s="176"/>
      <c r="O106" s="178"/>
      <c r="P106" s="176"/>
      <c r="Q106" s="177"/>
      <c r="R106" s="176"/>
      <c r="S106" s="177"/>
      <c r="T106" s="176"/>
      <c r="U106" s="177"/>
      <c r="V106" s="176"/>
      <c r="W106" s="177"/>
      <c r="X106" s="177"/>
      <c r="Y106" s="176"/>
      <c r="Z106" s="179"/>
    </row>
    <row r="107" spans="1:26" ht="29" thickBot="1" x14ac:dyDescent="0.4">
      <c r="A107" s="180" t="s">
        <v>65</v>
      </c>
      <c r="B107" s="181"/>
      <c r="C107" s="182"/>
      <c r="D107" s="183"/>
      <c r="E107" s="184">
        <f>E104</f>
        <v>2050000</v>
      </c>
      <c r="F107" s="155">
        <f>F104</f>
        <v>1344711850</v>
      </c>
      <c r="G107" s="185">
        <f>G104</f>
        <v>1049531200.0000001</v>
      </c>
      <c r="H107" s="155">
        <f>+H104</f>
        <v>1600000</v>
      </c>
      <c r="I107" s="186">
        <f>+I104</f>
        <v>260761272.71012968</v>
      </c>
      <c r="J107" s="155">
        <f t="shared" ref="J107:Y107" si="169">+J104</f>
        <v>397527.99758235621</v>
      </c>
      <c r="K107" s="155">
        <f>+K104</f>
        <v>311017385.0291965</v>
      </c>
      <c r="L107" s="155">
        <f t="shared" si="169"/>
        <v>474142.94691450277</v>
      </c>
      <c r="M107" s="155">
        <f>+M104</f>
        <v>358196949.3351686</v>
      </c>
      <c r="N107" s="155">
        <f t="shared" si="169"/>
        <v>546067.72903584933</v>
      </c>
      <c r="O107" s="186">
        <f t="shared" si="169"/>
        <v>929975607.07449472</v>
      </c>
      <c r="P107" s="155">
        <f t="shared" si="169"/>
        <v>1417738.6735327085</v>
      </c>
      <c r="Q107" s="155">
        <f t="shared" si="169"/>
        <v>217469699.1857509</v>
      </c>
      <c r="R107" s="155">
        <f t="shared" si="169"/>
        <v>331530.41919782985</v>
      </c>
      <c r="S107" s="155">
        <f t="shared" si="169"/>
        <v>215183646.22031716</v>
      </c>
      <c r="T107" s="155">
        <f t="shared" si="169"/>
        <v>328045.35391849949</v>
      </c>
      <c r="U107" s="155">
        <f t="shared" ref="U107:V107" si="170">+U104</f>
        <v>2286052.9654337205</v>
      </c>
      <c r="V107" s="155">
        <f t="shared" si="170"/>
        <v>3485.065279330383</v>
      </c>
      <c r="W107" s="195">
        <f>+S107/Q107</f>
        <v>0.98948794717612076</v>
      </c>
      <c r="X107" s="155">
        <f t="shared" si="169"/>
        <v>1145159253.294812</v>
      </c>
      <c r="Y107" s="155">
        <f t="shared" si="169"/>
        <v>1745784.0274512079</v>
      </c>
      <c r="Z107" s="187"/>
    </row>
    <row r="109" spans="1:26" x14ac:dyDescent="0.35">
      <c r="I109" s="3"/>
      <c r="J109" s="3"/>
      <c r="L109" s="3"/>
      <c r="M109" s="3"/>
      <c r="N109" s="3"/>
      <c r="O109" s="3"/>
      <c r="R109" s="3"/>
      <c r="S109" s="3"/>
    </row>
    <row r="110" spans="1:26" x14ac:dyDescent="0.35">
      <c r="R110" s="3"/>
      <c r="S110" s="3"/>
      <c r="T110" s="3"/>
    </row>
    <row r="111" spans="1:26" x14ac:dyDescent="0.35">
      <c r="O111" s="3" t="s">
        <v>0</v>
      </c>
    </row>
    <row r="115" spans="2:38" ht="18.5" x14ac:dyDescent="0.35">
      <c r="H115" s="197"/>
    </row>
    <row r="116" spans="2:38" ht="18.5" x14ac:dyDescent="0.35">
      <c r="H116" s="197"/>
      <c r="K116" s="3" t="s">
        <v>0</v>
      </c>
      <c r="X116" s="198">
        <f>+X107-J123</f>
        <v>-101159046.70518804</v>
      </c>
    </row>
    <row r="117" spans="2:38" s="202" customFormat="1" ht="15.5" x14ac:dyDescent="0.35">
      <c r="B117" s="201"/>
      <c r="D117" s="203"/>
      <c r="E117" s="203"/>
      <c r="F117" s="203"/>
      <c r="G117" s="203"/>
      <c r="H117" s="203"/>
      <c r="I117" s="201"/>
      <c r="K117" s="203"/>
      <c r="AL117" s="204"/>
    </row>
    <row r="118" spans="2:38" s="202" customFormat="1" ht="15.5" x14ac:dyDescent="0.35">
      <c r="B118" s="201"/>
      <c r="D118" s="203"/>
      <c r="E118" s="203"/>
      <c r="F118" s="203"/>
      <c r="G118" s="203"/>
      <c r="H118" s="203"/>
      <c r="I118" s="201"/>
      <c r="K118" s="203"/>
      <c r="AL118" s="204"/>
    </row>
    <row r="119" spans="2:38" s="202" customFormat="1" ht="15.5" x14ac:dyDescent="0.35">
      <c r="B119" s="201"/>
      <c r="D119" s="203"/>
      <c r="E119" s="203"/>
      <c r="F119" s="203"/>
      <c r="G119" s="203"/>
      <c r="H119" s="203"/>
      <c r="I119" s="201"/>
      <c r="K119" s="203"/>
      <c r="AL119" s="204"/>
    </row>
    <row r="120" spans="2:38" s="202" customFormat="1" ht="15.5" x14ac:dyDescent="0.35">
      <c r="B120" s="201"/>
      <c r="D120" s="203"/>
      <c r="E120" s="203"/>
      <c r="F120" s="203"/>
      <c r="G120" s="203"/>
      <c r="H120" s="205" t="s">
        <v>140</v>
      </c>
      <c r="I120" s="205" t="s">
        <v>141</v>
      </c>
      <c r="J120" s="205" t="s">
        <v>19</v>
      </c>
      <c r="K120" s="203"/>
      <c r="AL120" s="204"/>
    </row>
    <row r="121" spans="2:38" s="202" customFormat="1" ht="15.5" x14ac:dyDescent="0.35">
      <c r="B121" s="201"/>
      <c r="D121" s="203"/>
      <c r="E121" s="203"/>
      <c r="F121" s="203"/>
      <c r="G121" s="203"/>
      <c r="H121" s="206" t="s">
        <v>142</v>
      </c>
      <c r="I121" s="206">
        <f>+J121/655.957</f>
        <v>1600000</v>
      </c>
      <c r="J121" s="206">
        <v>1049531200</v>
      </c>
      <c r="K121" s="203"/>
      <c r="AL121" s="204"/>
    </row>
    <row r="122" spans="2:38" s="202" customFormat="1" ht="15.5" x14ac:dyDescent="0.35">
      <c r="B122" s="201"/>
      <c r="D122" s="203"/>
      <c r="E122" s="203"/>
      <c r="F122" s="203"/>
      <c r="G122" s="203"/>
      <c r="H122" s="206" t="s">
        <v>143</v>
      </c>
      <c r="I122" s="206">
        <f>+J122/655.957</f>
        <v>300000</v>
      </c>
      <c r="J122" s="206">
        <v>196787100</v>
      </c>
      <c r="K122" s="203"/>
      <c r="AL122" s="204"/>
    </row>
    <row r="123" spans="2:38" s="202" customFormat="1" ht="15.5" x14ac:dyDescent="0.35">
      <c r="B123" s="201"/>
      <c r="D123" s="203"/>
      <c r="E123" s="203"/>
      <c r="F123" s="203"/>
      <c r="G123" s="203"/>
      <c r="H123" s="206" t="s">
        <v>144</v>
      </c>
      <c r="I123" s="206">
        <f>SUM(I121:I122)</f>
        <v>1900000</v>
      </c>
      <c r="J123" s="206">
        <f>+I123*655.957</f>
        <v>1246318300</v>
      </c>
      <c r="K123" s="203"/>
      <c r="AL123" s="204"/>
    </row>
    <row r="124" spans="2:38" s="202" customFormat="1" ht="15.5" x14ac:dyDescent="0.35">
      <c r="B124" s="201"/>
      <c r="D124" s="203"/>
      <c r="E124" s="203"/>
      <c r="F124" s="203"/>
      <c r="G124" s="203"/>
      <c r="H124" s="206" t="s">
        <v>145</v>
      </c>
      <c r="I124" s="206">
        <f t="shared" ref="I124:I130" si="171">+J124/655.957</f>
        <v>397527.99758235621</v>
      </c>
      <c r="J124" s="206">
        <v>260761272.71012962</v>
      </c>
      <c r="K124" s="203"/>
      <c r="AL124" s="204"/>
    </row>
    <row r="125" spans="2:38" s="202" customFormat="1" ht="15.5" x14ac:dyDescent="0.35">
      <c r="B125" s="201"/>
      <c r="D125" s="203"/>
      <c r="E125" s="203"/>
      <c r="F125" s="203"/>
      <c r="G125" s="203"/>
      <c r="H125" s="206" t="s">
        <v>146</v>
      </c>
      <c r="I125" s="206">
        <f t="shared" si="171"/>
        <v>474142.94691450277</v>
      </c>
      <c r="J125" s="206">
        <v>311017385.0291965</v>
      </c>
      <c r="K125" s="203"/>
      <c r="AL125" s="204"/>
    </row>
    <row r="126" spans="2:38" s="202" customFormat="1" ht="15.5" x14ac:dyDescent="0.35">
      <c r="B126" s="201"/>
      <c r="D126" s="203"/>
      <c r="E126" s="203"/>
      <c r="F126" s="203"/>
      <c r="G126" s="203"/>
      <c r="H126" s="206" t="s">
        <v>147</v>
      </c>
      <c r="I126" s="206">
        <f t="shared" si="171"/>
        <v>546067.72903584933</v>
      </c>
      <c r="J126" s="206">
        <v>358196949.3351686</v>
      </c>
      <c r="K126" s="203"/>
      <c r="L126" s="207"/>
      <c r="AL126" s="204"/>
    </row>
    <row r="127" spans="2:38" s="202" customFormat="1" ht="15.5" x14ac:dyDescent="0.35">
      <c r="B127" s="201"/>
      <c r="D127" s="203"/>
      <c r="E127" s="203"/>
      <c r="F127" s="203"/>
      <c r="G127" s="203"/>
      <c r="H127" s="206" t="s">
        <v>152</v>
      </c>
      <c r="I127" s="206">
        <f t="shared" si="171"/>
        <v>328045.35391849949</v>
      </c>
      <c r="J127" s="206">
        <f>+S107</f>
        <v>215183646.22031716</v>
      </c>
      <c r="K127" s="203"/>
      <c r="AL127" s="204"/>
    </row>
    <row r="128" spans="2:38" s="202" customFormat="1" ht="15.5" x14ac:dyDescent="0.35">
      <c r="B128" s="201"/>
      <c r="D128" s="203"/>
      <c r="E128" s="203"/>
      <c r="F128" s="203"/>
      <c r="G128" s="203"/>
      <c r="H128" s="206" t="s">
        <v>149</v>
      </c>
      <c r="I128" s="206">
        <f t="shared" si="171"/>
        <v>154215.97254879226</v>
      </c>
      <c r="J128" s="206">
        <f>+J123-J124-J125-J126-J127</f>
        <v>101159046.70518813</v>
      </c>
      <c r="K128" s="203">
        <f>+J123-X107</f>
        <v>101159046.70518804</v>
      </c>
      <c r="AL128" s="204"/>
    </row>
    <row r="129" spans="2:38" s="202" customFormat="1" ht="15.5" x14ac:dyDescent="0.35">
      <c r="B129" s="201"/>
      <c r="D129" s="203"/>
      <c r="E129" s="203"/>
      <c r="F129" s="203"/>
      <c r="G129" s="203"/>
      <c r="H129" s="206" t="s">
        <v>150</v>
      </c>
      <c r="I129" s="206">
        <f>+J129/655.957</f>
        <v>1900000</v>
      </c>
      <c r="J129" s="206">
        <f>J124+J125+J126+J127+J128</f>
        <v>1246318300</v>
      </c>
      <c r="K129" s="203"/>
      <c r="AL129" s="204"/>
    </row>
    <row r="130" spans="2:38" s="202" customFormat="1" ht="15.5" x14ac:dyDescent="0.35">
      <c r="B130" s="201"/>
      <c r="D130" s="203"/>
      <c r="E130" s="203"/>
      <c r="F130" s="203"/>
      <c r="G130" s="203"/>
      <c r="H130" s="206" t="s">
        <v>151</v>
      </c>
      <c r="I130" s="206">
        <f t="shared" si="171"/>
        <v>0</v>
      </c>
      <c r="J130" s="206">
        <f>+J123-J129</f>
        <v>0</v>
      </c>
      <c r="K130" s="203"/>
      <c r="AL130" s="204"/>
    </row>
    <row r="131" spans="2:38" s="202" customFormat="1" ht="15.5" x14ac:dyDescent="0.35">
      <c r="B131" s="201"/>
      <c r="D131" s="203"/>
      <c r="E131" s="203"/>
      <c r="F131" s="203"/>
      <c r="G131" s="203"/>
      <c r="H131" s="203"/>
      <c r="I131" s="201"/>
      <c r="K131" s="203"/>
      <c r="AL131" s="204"/>
    </row>
  </sheetData>
  <mergeCells count="11">
    <mergeCell ref="Z11:Z12"/>
    <mergeCell ref="G11:H11"/>
    <mergeCell ref="B11:F11"/>
    <mergeCell ref="I11:J11"/>
    <mergeCell ref="K11:L11"/>
    <mergeCell ref="M11:N11"/>
    <mergeCell ref="O11:P11"/>
    <mergeCell ref="Q11:R11"/>
    <mergeCell ref="X11:Y11"/>
    <mergeCell ref="S11:T11"/>
    <mergeCell ref="U11:V11"/>
  </mergeCells>
  <pageMargins left="0.7" right="0.7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3054-6495-488A-914F-4E5495C1A169}">
  <sheetPr>
    <tabColor rgb="FF00B050"/>
  </sheetPr>
  <dimension ref="B3:I26"/>
  <sheetViews>
    <sheetView topLeftCell="A4" workbookViewId="0">
      <selection activeCell="E14" sqref="E14"/>
    </sheetView>
  </sheetViews>
  <sheetFormatPr baseColWidth="10" defaultRowHeight="14.5" x14ac:dyDescent="0.35"/>
  <cols>
    <col min="1" max="1" width="3.54296875" style="123" customWidth="1"/>
    <col min="2" max="2" width="47.36328125" style="122" customWidth="1"/>
    <col min="3" max="4" width="12.7265625" style="123" hidden="1" customWidth="1"/>
    <col min="5" max="8" width="12.7265625" style="123" customWidth="1"/>
    <col min="9" max="9" width="14" style="123" customWidth="1"/>
    <col min="10" max="16384" width="10.90625" style="123"/>
  </cols>
  <sheetData>
    <row r="3" spans="2:9" ht="15.5" x14ac:dyDescent="0.35">
      <c r="B3" s="170" t="s">
        <v>67</v>
      </c>
    </row>
    <row r="6" spans="2:9" ht="15" thickBot="1" x14ac:dyDescent="0.4"/>
    <row r="7" spans="2:9" ht="15" thickBot="1" x14ac:dyDescent="0.4">
      <c r="B7" s="117" t="s">
        <v>9</v>
      </c>
      <c r="C7" s="236" t="s">
        <v>148</v>
      </c>
      <c r="D7" s="237"/>
      <c r="E7" s="236" t="s">
        <v>129</v>
      </c>
      <c r="F7" s="237"/>
      <c r="G7" s="236" t="s">
        <v>153</v>
      </c>
      <c r="H7" s="237"/>
      <c r="I7" s="238" t="s">
        <v>70</v>
      </c>
    </row>
    <row r="8" spans="2:9" ht="21.5" customHeight="1" thickBot="1" x14ac:dyDescent="0.4">
      <c r="B8" s="124" t="s">
        <v>12</v>
      </c>
      <c r="C8" s="125" t="s">
        <v>19</v>
      </c>
      <c r="D8" s="126" t="s">
        <v>20</v>
      </c>
      <c r="E8" s="125" t="s">
        <v>19</v>
      </c>
      <c r="F8" s="126" t="s">
        <v>20</v>
      </c>
      <c r="G8" s="127" t="s">
        <v>19</v>
      </c>
      <c r="H8" s="126" t="s">
        <v>20</v>
      </c>
      <c r="I8" s="239"/>
    </row>
    <row r="9" spans="2:9" x14ac:dyDescent="0.35">
      <c r="B9" s="128" t="s">
        <v>18</v>
      </c>
      <c r="C9" s="129">
        <f>+'RAPPORT FINANCIER RAPPID_2025'!Q26</f>
        <v>69704614.5</v>
      </c>
      <c r="D9" s="130">
        <f>C9/655.957</f>
        <v>106263.99977437545</v>
      </c>
      <c r="E9" s="131">
        <f>+'RAPPORT FINANCIER RAPPID_2025'!S26</f>
        <v>69901472.093479991</v>
      </c>
      <c r="F9" s="130">
        <f>E9/655.957</f>
        <v>106564.10724099292</v>
      </c>
      <c r="G9" s="132">
        <f>+C9-E9</f>
        <v>-196857.59347999096</v>
      </c>
      <c r="H9" s="130">
        <f>G9/655.957</f>
        <v>-300.10746661746265</v>
      </c>
      <c r="I9" s="133">
        <f>+E9/C9</f>
        <v>1.0028241687425155</v>
      </c>
    </row>
    <row r="10" spans="2:9" x14ac:dyDescent="0.35">
      <c r="B10" s="134" t="s">
        <v>36</v>
      </c>
      <c r="C10" s="135">
        <f>+'RAPPORT FINANCIER RAPPID_2025'!Q31</f>
        <v>1810441</v>
      </c>
      <c r="D10" s="33">
        <f t="shared" ref="D10:F25" si="0">C10/655.957</f>
        <v>2759.999512163145</v>
      </c>
      <c r="E10" s="136">
        <f>+'RAPPORT FINANCIER RAPPID_2025'!S31</f>
        <v>1498384</v>
      </c>
      <c r="F10" s="33">
        <f t="shared" si="0"/>
        <v>2284.2716824425993</v>
      </c>
      <c r="G10" s="48">
        <f t="shared" ref="G10:G17" si="1">+C10-E10</f>
        <v>312057</v>
      </c>
      <c r="H10" s="33">
        <f t="shared" ref="H10:H26" si="2">G10/655.957</f>
        <v>475.72782972054569</v>
      </c>
      <c r="I10" s="133">
        <f t="shared" ref="I10:I17" si="3">+E10/C10</f>
        <v>0.82763481383817539</v>
      </c>
    </row>
    <row r="11" spans="2:9" x14ac:dyDescent="0.35">
      <c r="B11" s="134" t="s">
        <v>41</v>
      </c>
      <c r="C11" s="135">
        <v>0</v>
      </c>
      <c r="D11" s="33">
        <f t="shared" si="0"/>
        <v>0</v>
      </c>
      <c r="E11" s="136">
        <v>0</v>
      </c>
      <c r="F11" s="33">
        <f t="shared" si="0"/>
        <v>0</v>
      </c>
      <c r="G11" s="48">
        <f t="shared" si="1"/>
        <v>0</v>
      </c>
      <c r="H11" s="33">
        <f t="shared" si="2"/>
        <v>0</v>
      </c>
      <c r="I11" s="133">
        <v>0</v>
      </c>
    </row>
    <row r="12" spans="2:9" x14ac:dyDescent="0.35">
      <c r="B12" s="134" t="s">
        <v>46</v>
      </c>
      <c r="C12" s="135">
        <f>+'RAPPORT FINANCIER RAPPID_2025'!Q44</f>
        <v>18373356</v>
      </c>
      <c r="D12" s="33">
        <f t="shared" si="0"/>
        <v>28010.000655530774</v>
      </c>
      <c r="E12" s="136">
        <f>+'RAPPORT FINANCIER RAPPID_2025'!S44</f>
        <v>18041946</v>
      </c>
      <c r="F12" s="33">
        <f t="shared" si="0"/>
        <v>27504.769367504272</v>
      </c>
      <c r="G12" s="48">
        <f t="shared" si="1"/>
        <v>331410</v>
      </c>
      <c r="H12" s="33">
        <f t="shared" si="2"/>
        <v>505.23128802650172</v>
      </c>
      <c r="I12" s="133">
        <f t="shared" si="3"/>
        <v>0.98196246782569285</v>
      </c>
    </row>
    <row r="13" spans="2:9" s="140" customFormat="1" ht="19" customHeight="1" x14ac:dyDescent="0.35">
      <c r="B13" s="137" t="s">
        <v>57</v>
      </c>
      <c r="C13" s="138">
        <f>SUM(C9:C12)</f>
        <v>89888411.5</v>
      </c>
      <c r="D13" s="138">
        <f t="shared" si="0"/>
        <v>137033.99994206938</v>
      </c>
      <c r="E13" s="139">
        <f>SUM(E9:E12)</f>
        <v>89441802.093479991</v>
      </c>
      <c r="F13" s="138">
        <f t="shared" si="0"/>
        <v>136353.1482909398</v>
      </c>
      <c r="G13" s="72">
        <f>SUM(G9:G12)</f>
        <v>446609.40652000904</v>
      </c>
      <c r="H13" s="138">
        <f t="shared" si="2"/>
        <v>680.85165112958475</v>
      </c>
      <c r="I13" s="199">
        <f>+E13/C13</f>
        <v>0.99503151297183612</v>
      </c>
    </row>
    <row r="14" spans="2:9" x14ac:dyDescent="0.35">
      <c r="B14" s="141" t="s">
        <v>71</v>
      </c>
      <c r="C14" s="142">
        <f>+'RAPPORT FINANCIER RAPPID_2025'!Q61</f>
        <v>9209636</v>
      </c>
      <c r="D14" s="33">
        <f t="shared" si="0"/>
        <v>14039.999573142752</v>
      </c>
      <c r="E14" s="136">
        <f>+'RAPPORT FINANCIER RAPPID_2025'!S61</f>
        <v>8940510</v>
      </c>
      <c r="F14" s="33">
        <f t="shared" si="0"/>
        <v>13629.719631012398</v>
      </c>
      <c r="G14" s="48">
        <f t="shared" si="1"/>
        <v>269126</v>
      </c>
      <c r="H14" s="33">
        <f t="shared" si="2"/>
        <v>410.27994213035305</v>
      </c>
      <c r="I14" s="133">
        <f t="shared" si="3"/>
        <v>0.97077778101110623</v>
      </c>
    </row>
    <row r="15" spans="2:9" ht="26" x14ac:dyDescent="0.35">
      <c r="B15" s="141" t="s">
        <v>93</v>
      </c>
      <c r="C15" s="142">
        <f>+'RAPPORT FINANCIER RAPPID_2025'!Q72</f>
        <v>45589012</v>
      </c>
      <c r="D15" s="33">
        <f t="shared" si="0"/>
        <v>69500.000762245094</v>
      </c>
      <c r="E15" s="136">
        <f>+'RAPPORT FINANCIER RAPPID_2025'!S72</f>
        <v>47297533</v>
      </c>
      <c r="F15" s="33">
        <f t="shared" si="0"/>
        <v>72104.624236039861</v>
      </c>
      <c r="G15" s="48">
        <f t="shared" si="1"/>
        <v>-1708521</v>
      </c>
      <c r="H15" s="33">
        <f t="shared" si="2"/>
        <v>-2604.6234737947761</v>
      </c>
      <c r="I15" s="133">
        <f t="shared" si="3"/>
        <v>1.0374765963342218</v>
      </c>
    </row>
    <row r="16" spans="2:9" ht="39" x14ac:dyDescent="0.35">
      <c r="B16" s="141" t="s">
        <v>104</v>
      </c>
      <c r="C16" s="142">
        <f>+'RAPPORT FINANCIER RAPPID_2025'!Q86</f>
        <v>46572947</v>
      </c>
      <c r="D16" s="33">
        <f t="shared" si="0"/>
        <v>71000</v>
      </c>
      <c r="E16" s="136">
        <f>+'RAPPORT FINANCIER RAPPID_2025'!S86</f>
        <v>43982882</v>
      </c>
      <c r="F16" s="33">
        <f t="shared" si="0"/>
        <v>67051.471361689866</v>
      </c>
      <c r="G16" s="48">
        <f t="shared" si="1"/>
        <v>2590065</v>
      </c>
      <c r="H16" s="33">
        <f t="shared" si="2"/>
        <v>3948.5286383101334</v>
      </c>
      <c r="I16" s="133">
        <f t="shared" si="3"/>
        <v>0.94438692058718121</v>
      </c>
    </row>
    <row r="17" spans="2:9" ht="26.5" thickBot="1" x14ac:dyDescent="0.4">
      <c r="B17" s="143" t="s">
        <v>115</v>
      </c>
      <c r="C17" s="144">
        <f>+'RAPPORT FINANCIER RAPPID_2025'!Q98</f>
        <v>9696356.5</v>
      </c>
      <c r="D17" s="145">
        <f t="shared" si="0"/>
        <v>14782.000192085761</v>
      </c>
      <c r="E17" s="146">
        <f>+'RAPPORT FINANCIER RAPPID_2025'!S98</f>
        <v>9181172</v>
      </c>
      <c r="F17" s="145">
        <f t="shared" si="0"/>
        <v>13996.606484876296</v>
      </c>
      <c r="G17" s="147">
        <f t="shared" si="1"/>
        <v>515184.5</v>
      </c>
      <c r="H17" s="145">
        <f t="shared" si="2"/>
        <v>785.39370720946647</v>
      </c>
      <c r="I17" s="148">
        <f t="shared" si="3"/>
        <v>0.94686823860075686</v>
      </c>
    </row>
    <row r="18" spans="2:9" s="140" customFormat="1" ht="15" thickBot="1" x14ac:dyDescent="0.4">
      <c r="B18" s="149" t="s">
        <v>124</v>
      </c>
      <c r="C18" s="150">
        <f>SUM(C14:C17)</f>
        <v>111067951.5</v>
      </c>
      <c r="D18" s="150">
        <f t="shared" si="0"/>
        <v>169322.0005274736</v>
      </c>
      <c r="E18" s="150">
        <f>SUM(E14:E17)</f>
        <v>109402097</v>
      </c>
      <c r="F18" s="150">
        <f t="shared" si="0"/>
        <v>166782.42171361842</v>
      </c>
      <c r="G18" s="151">
        <f>SUM(G14:G17)</f>
        <v>1665854.5</v>
      </c>
      <c r="H18" s="150">
        <f t="shared" si="2"/>
        <v>2539.5788138551766</v>
      </c>
      <c r="I18" s="152">
        <f>+E18/C18</f>
        <v>0.98500148352875672</v>
      </c>
    </row>
    <row r="19" spans="2:9" s="140" customFormat="1" ht="26.5" thickBot="1" x14ac:dyDescent="0.4">
      <c r="B19" s="153" t="s">
        <v>58</v>
      </c>
      <c r="C19" s="154">
        <f>C13+C18</f>
        <v>200956363</v>
      </c>
      <c r="D19" s="154">
        <f>C19/655.957</f>
        <v>306356.00046954298</v>
      </c>
      <c r="E19" s="154">
        <f>E13+E18</f>
        <v>198843899.09347999</v>
      </c>
      <c r="F19" s="154">
        <f t="shared" si="0"/>
        <v>303135.57000455819</v>
      </c>
      <c r="G19" s="155">
        <f>G13+G18</f>
        <v>2112463.906520009</v>
      </c>
      <c r="H19" s="154">
        <f t="shared" si="2"/>
        <v>3220.4304649847613</v>
      </c>
      <c r="I19" s="156">
        <f>+E19/C19</f>
        <v>0.98948794715935418</v>
      </c>
    </row>
    <row r="20" spans="2:9" ht="26.5" thickBot="1" x14ac:dyDescent="0.4">
      <c r="B20" s="157" t="s">
        <v>59</v>
      </c>
      <c r="C20" s="158">
        <v>0</v>
      </c>
      <c r="D20" s="158">
        <f t="shared" si="0"/>
        <v>0</v>
      </c>
      <c r="E20" s="159">
        <v>0</v>
      </c>
      <c r="F20" s="158">
        <f t="shared" si="0"/>
        <v>0</v>
      </c>
      <c r="G20" s="160"/>
      <c r="H20" s="158">
        <f t="shared" si="2"/>
        <v>0</v>
      </c>
      <c r="I20" s="161"/>
    </row>
    <row r="21" spans="2:9" s="140" customFormat="1" ht="15" thickBot="1" x14ac:dyDescent="0.4">
      <c r="B21" s="153" t="s">
        <v>60</v>
      </c>
      <c r="C21" s="154">
        <f>C19+C20</f>
        <v>200956363</v>
      </c>
      <c r="D21" s="154">
        <f t="shared" si="0"/>
        <v>306356.00046954298</v>
      </c>
      <c r="E21" s="154">
        <f>E19+E20</f>
        <v>198843899.09347999</v>
      </c>
      <c r="F21" s="154">
        <f t="shared" si="0"/>
        <v>303135.57000455819</v>
      </c>
      <c r="G21" s="155">
        <f t="shared" ref="G21" si="4">G19+G20</f>
        <v>2112463.906520009</v>
      </c>
      <c r="H21" s="154">
        <f t="shared" si="2"/>
        <v>3220.4304649847613</v>
      </c>
      <c r="I21" s="156">
        <f>+E21/C21</f>
        <v>0.98948794715935418</v>
      </c>
    </row>
    <row r="22" spans="2:9" ht="26.5" thickBot="1" x14ac:dyDescent="0.4">
      <c r="B22" s="157" t="s">
        <v>61</v>
      </c>
      <c r="C22" s="158">
        <f>+'RAPPORT FINANCIER RAPPID_2025'!Q103</f>
        <v>16513336.185750891</v>
      </c>
      <c r="D22" s="158">
        <f t="shared" si="0"/>
        <v>25174.418728286902</v>
      </c>
      <c r="E22" s="159">
        <f>+'RAPPORT FINANCIER RAPPID_2025'!S103</f>
        <v>16339747.12683717</v>
      </c>
      <c r="F22" s="158">
        <f t="shared" si="0"/>
        <v>24909.783913941264</v>
      </c>
      <c r="G22" s="162">
        <f>C22-E22</f>
        <v>173589.05891372077</v>
      </c>
      <c r="H22" s="158">
        <f t="shared" si="2"/>
        <v>264.63481434563664</v>
      </c>
      <c r="I22" s="148">
        <f>+E22/C22</f>
        <v>0.98948794738015999</v>
      </c>
    </row>
    <row r="23" spans="2:9" s="140" customFormat="1" ht="15" thickBot="1" x14ac:dyDescent="0.4">
      <c r="B23" s="153" t="s">
        <v>62</v>
      </c>
      <c r="C23" s="154">
        <f>C21+C22</f>
        <v>217469699.1857509</v>
      </c>
      <c r="D23" s="154">
        <f t="shared" si="0"/>
        <v>331530.41919782991</v>
      </c>
      <c r="E23" s="154">
        <f>E21+E22</f>
        <v>215183646.22031716</v>
      </c>
      <c r="F23" s="154">
        <f t="shared" si="0"/>
        <v>328045.35391849949</v>
      </c>
      <c r="G23" s="155">
        <f t="shared" ref="G23" si="5">G21+G22</f>
        <v>2286052.9654337298</v>
      </c>
      <c r="H23" s="154">
        <f t="shared" si="2"/>
        <v>3485.065279330398</v>
      </c>
      <c r="I23" s="156">
        <f>+E23/C23</f>
        <v>0.98948794717612076</v>
      </c>
    </row>
    <row r="24" spans="2:9" s="140" customFormat="1" x14ac:dyDescent="0.35">
      <c r="B24" s="163" t="s">
        <v>63</v>
      </c>
      <c r="C24" s="164"/>
      <c r="D24" s="164">
        <f t="shared" si="0"/>
        <v>0</v>
      </c>
      <c r="E24" s="164"/>
      <c r="F24" s="164">
        <f t="shared" si="0"/>
        <v>0</v>
      </c>
      <c r="G24" s="165"/>
      <c r="H24" s="164">
        <f t="shared" si="2"/>
        <v>0</v>
      </c>
      <c r="I24" s="166">
        <v>0</v>
      </c>
    </row>
    <row r="25" spans="2:9" s="140" customFormat="1" ht="15" thickBot="1" x14ac:dyDescent="0.4">
      <c r="B25" s="167" t="s">
        <v>64</v>
      </c>
      <c r="C25" s="168"/>
      <c r="D25" s="168">
        <f t="shared" si="0"/>
        <v>0</v>
      </c>
      <c r="E25" s="168"/>
      <c r="F25" s="168">
        <f t="shared" si="0"/>
        <v>0</v>
      </c>
      <c r="G25" s="58"/>
      <c r="H25" s="168">
        <f t="shared" si="2"/>
        <v>0</v>
      </c>
      <c r="I25" s="169">
        <v>0</v>
      </c>
    </row>
    <row r="26" spans="2:9" s="140" customFormat="1" ht="24" thickBot="1" x14ac:dyDescent="0.4">
      <c r="B26" s="153" t="s">
        <v>65</v>
      </c>
      <c r="C26" s="154">
        <f t="shared" ref="C26:G26" si="6">+C23</f>
        <v>217469699.1857509</v>
      </c>
      <c r="D26" s="154">
        <f t="shared" ref="D26:F26" si="7">C26/655.957</f>
        <v>331530.41919782991</v>
      </c>
      <c r="E26" s="154">
        <f t="shared" si="6"/>
        <v>215183646.22031716</v>
      </c>
      <c r="F26" s="154">
        <f t="shared" si="7"/>
        <v>328045.35391849949</v>
      </c>
      <c r="G26" s="155">
        <f t="shared" si="6"/>
        <v>2286052.9654337298</v>
      </c>
      <c r="H26" s="154">
        <f t="shared" si="2"/>
        <v>3485.065279330398</v>
      </c>
      <c r="I26" s="200">
        <f>+E26/C26</f>
        <v>0.98948794717612076</v>
      </c>
    </row>
  </sheetData>
  <mergeCells count="4">
    <mergeCell ref="C7:D7"/>
    <mergeCell ref="E7:F7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D8A6-86F1-4B26-9D34-3BC5CB02F247}">
  <sheetPr>
    <tabColor rgb="FF00B050"/>
    <pageSetUpPr fitToPage="1"/>
  </sheetPr>
  <dimension ref="B2:G26"/>
  <sheetViews>
    <sheetView topLeftCell="A5" zoomScaleNormal="100" zoomScaleSheetLayoutView="80" workbookViewId="0">
      <selection activeCell="F19" sqref="F19"/>
    </sheetView>
  </sheetViews>
  <sheetFormatPr baseColWidth="10" defaultRowHeight="15.5" x14ac:dyDescent="0.35"/>
  <cols>
    <col min="1" max="1" width="4.54296875" style="210" customWidth="1"/>
    <col min="2" max="2" width="63.08984375" style="210" customWidth="1"/>
    <col min="3" max="3" width="18.08984375" style="209" customWidth="1"/>
    <col min="4" max="4" width="16.6328125" style="209" customWidth="1"/>
    <col min="5" max="5" width="10.90625" style="225"/>
    <col min="6" max="6" width="12.453125" style="210" bestFit="1" customWidth="1"/>
    <col min="7" max="7" width="12.6328125" style="210" bestFit="1" customWidth="1"/>
    <col min="8" max="16384" width="10.90625" style="210"/>
  </cols>
  <sheetData>
    <row r="2" spans="2:5" x14ac:dyDescent="0.35">
      <c r="B2" s="208" t="s">
        <v>154</v>
      </c>
    </row>
    <row r="4" spans="2:5" x14ac:dyDescent="0.35">
      <c r="B4" s="240" t="s">
        <v>164</v>
      </c>
      <c r="C4" s="240"/>
      <c r="D4" s="240"/>
    </row>
    <row r="5" spans="2:5" ht="16" thickBot="1" x14ac:dyDescent="0.4"/>
    <row r="6" spans="2:5" s="208" customFormat="1" x14ac:dyDescent="0.35">
      <c r="B6" s="241" t="s">
        <v>140</v>
      </c>
      <c r="C6" s="243" t="s">
        <v>155</v>
      </c>
      <c r="D6" s="244"/>
      <c r="E6" s="226"/>
    </row>
    <row r="7" spans="2:5" s="208" customFormat="1" x14ac:dyDescent="0.35">
      <c r="B7" s="242"/>
      <c r="C7" s="211" t="s">
        <v>19</v>
      </c>
      <c r="D7" s="212" t="s">
        <v>156</v>
      </c>
      <c r="E7" s="226"/>
    </row>
    <row r="8" spans="2:5" s="208" customFormat="1" x14ac:dyDescent="0.35">
      <c r="B8" s="213" t="s">
        <v>165</v>
      </c>
      <c r="C8" s="211">
        <v>48868559</v>
      </c>
      <c r="D8" s="224">
        <f>+C8/655.957</f>
        <v>74499.637933584061</v>
      </c>
      <c r="E8" s="226"/>
    </row>
    <row r="9" spans="2:5" x14ac:dyDescent="0.35">
      <c r="B9" s="214"/>
      <c r="C9" s="215"/>
      <c r="D9" s="212" t="s">
        <v>0</v>
      </c>
    </row>
    <row r="10" spans="2:5" s="208" customFormat="1" x14ac:dyDescent="0.35">
      <c r="B10" s="213" t="s">
        <v>157</v>
      </c>
      <c r="C10" s="211">
        <f>+C11+C12</f>
        <v>232561027</v>
      </c>
      <c r="D10" s="212">
        <f>+C10/655.957</f>
        <v>354537.00013872859</v>
      </c>
      <c r="E10" s="226"/>
    </row>
    <row r="11" spans="2:5" ht="16" x14ac:dyDescent="0.35">
      <c r="B11" s="216" t="s">
        <v>158</v>
      </c>
      <c r="C11" s="215">
        <v>232561027</v>
      </c>
      <c r="D11" s="217">
        <f>+C11/655.957</f>
        <v>354537.00013872859</v>
      </c>
    </row>
    <row r="12" spans="2:5" ht="16" x14ac:dyDescent="0.35">
      <c r="B12" s="216"/>
      <c r="C12" s="215"/>
      <c r="D12" s="217"/>
    </row>
    <row r="13" spans="2:5" ht="16" x14ac:dyDescent="0.35">
      <c r="B13" s="216"/>
      <c r="C13" s="215"/>
      <c r="D13" s="217"/>
    </row>
    <row r="14" spans="2:5" s="208" customFormat="1" x14ac:dyDescent="0.35">
      <c r="B14" s="213" t="s">
        <v>159</v>
      </c>
      <c r="C14" s="211">
        <f>+C8+C10</f>
        <v>281429586</v>
      </c>
      <c r="D14" s="212">
        <f>+C14/655.957</f>
        <v>429036.63807231269</v>
      </c>
      <c r="E14" s="226"/>
    </row>
    <row r="15" spans="2:5" x14ac:dyDescent="0.35">
      <c r="B15" s="214"/>
      <c r="C15" s="215"/>
      <c r="D15" s="212" t="s">
        <v>0</v>
      </c>
    </row>
    <row r="16" spans="2:5" s="208" customFormat="1" x14ac:dyDescent="0.35">
      <c r="B16" s="213" t="s">
        <v>160</v>
      </c>
      <c r="C16" s="211">
        <f>SUM(C17:C23)</f>
        <v>215183646.22031716</v>
      </c>
      <c r="D16" s="212">
        <f>+C16/655.957</f>
        <v>328045.35391849949</v>
      </c>
      <c r="E16" s="225"/>
    </row>
    <row r="17" spans="2:7" s="208" customFormat="1" x14ac:dyDescent="0.35">
      <c r="B17" s="218" t="s">
        <v>71</v>
      </c>
      <c r="C17" s="215">
        <f>+'DEPENSES 2025 PAR RUBRIQUES'!E14</f>
        <v>8940510</v>
      </c>
      <c r="D17" s="217">
        <f>+C17/655.957</f>
        <v>13629.719631012398</v>
      </c>
      <c r="E17" s="225"/>
    </row>
    <row r="18" spans="2:7" s="208" customFormat="1" ht="31" x14ac:dyDescent="0.35">
      <c r="B18" s="218" t="s">
        <v>93</v>
      </c>
      <c r="C18" s="215">
        <f>+'DEPENSES 2025 PAR RUBRIQUES'!E15</f>
        <v>47297533</v>
      </c>
      <c r="D18" s="217">
        <f>+C18/655.957</f>
        <v>72104.624236039861</v>
      </c>
      <c r="E18" s="225"/>
      <c r="F18" s="219" t="s">
        <v>0</v>
      </c>
    </row>
    <row r="19" spans="2:7" s="208" customFormat="1" ht="46.5" x14ac:dyDescent="0.35">
      <c r="B19" s="218" t="s">
        <v>104</v>
      </c>
      <c r="C19" s="215">
        <f>+'DEPENSES 2025 PAR RUBRIQUES'!E16</f>
        <v>43982882</v>
      </c>
      <c r="D19" s="217">
        <f>+C19/655.957</f>
        <v>67051.471361689866</v>
      </c>
      <c r="E19" s="225"/>
      <c r="G19" s="219"/>
    </row>
    <row r="20" spans="2:7" s="208" customFormat="1" ht="31" x14ac:dyDescent="0.35">
      <c r="B20" s="218" t="s">
        <v>115</v>
      </c>
      <c r="C20" s="215">
        <f>+'DEPENSES 2025 PAR RUBRIQUES'!E17</f>
        <v>9181172</v>
      </c>
      <c r="D20" s="217">
        <f>+C20/655.957</f>
        <v>13996.606484876296</v>
      </c>
      <c r="E20" s="225"/>
    </row>
    <row r="21" spans="2:7" s="208" customFormat="1" x14ac:dyDescent="0.35">
      <c r="B21" s="218" t="s">
        <v>161</v>
      </c>
      <c r="C21" s="215">
        <v>0</v>
      </c>
      <c r="D21" s="217">
        <f t="shared" ref="D21" si="0">+C21/655.957</f>
        <v>0</v>
      </c>
      <c r="E21" s="225"/>
    </row>
    <row r="22" spans="2:7" s="208" customFormat="1" x14ac:dyDescent="0.35">
      <c r="B22" s="218" t="s">
        <v>162</v>
      </c>
      <c r="C22" s="215">
        <f>+'DEPENSES 2025 PAR RUBRIQUES'!E13</f>
        <v>89441802.093479991</v>
      </c>
      <c r="D22" s="217">
        <f>+C22/655.957</f>
        <v>136353.1482909398</v>
      </c>
      <c r="E22" s="225"/>
    </row>
    <row r="23" spans="2:7" s="208" customFormat="1" x14ac:dyDescent="0.35">
      <c r="B23" s="218" t="s">
        <v>163</v>
      </c>
      <c r="C23" s="215">
        <f>+'DEPENSES 2025 PAR RUBRIQUES'!E22</f>
        <v>16339747.12683717</v>
      </c>
      <c r="D23" s="217">
        <f>+C23/655.957</f>
        <v>24909.783913941264</v>
      </c>
      <c r="E23" s="225"/>
    </row>
    <row r="24" spans="2:7" s="208" customFormat="1" ht="16" thickBot="1" x14ac:dyDescent="0.4">
      <c r="B24" s="220" t="s">
        <v>166</v>
      </c>
      <c r="C24" s="221">
        <f>C14-C16</f>
        <v>66245939.779682845</v>
      </c>
      <c r="D24" s="222">
        <f>+C24/655.957</f>
        <v>100991.28415381321</v>
      </c>
      <c r="E24" s="225"/>
    </row>
    <row r="26" spans="2:7" x14ac:dyDescent="0.35">
      <c r="D26" s="209" t="s">
        <v>0</v>
      </c>
      <c r="F26" s="223"/>
    </row>
  </sheetData>
  <mergeCells count="3">
    <mergeCell ref="B4:D4"/>
    <mergeCell ref="B6:B7"/>
    <mergeCell ref="C6:D6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RAPPORT FINANCIER RAPPID_2025</vt:lpstr>
      <vt:lpstr>DEPENSES 2025 PAR RUBRIQUES</vt:lpstr>
      <vt:lpstr>FAS RAPPID 2025</vt:lpstr>
      <vt:lpstr>'RAPPORT FINANCIER RAPPID_2025'!Zone_d_impression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Djamal FOUSSENI</cp:lastModifiedBy>
  <cp:lastPrinted>2026-02-23T13:52:12Z</cp:lastPrinted>
  <dcterms:created xsi:type="dcterms:W3CDTF">2024-11-21T08:30:54Z</dcterms:created>
  <dcterms:modified xsi:type="dcterms:W3CDTF">2026-02-27T16:44:23Z</dcterms:modified>
</cp:coreProperties>
</file>