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RAPPORT ANNUEL 2024\RAPPID\"/>
    </mc:Choice>
  </mc:AlternateContent>
  <xr:revisionPtr revIDLastSave="0" documentId="13_ncr:1_{B1B7E8A6-C9EE-49AC-AC67-79491320F12D}" xr6:coauthVersionLast="45" xr6:coauthVersionMax="45" xr10:uidLastSave="{00000000-0000-0000-0000-000000000000}"/>
  <bookViews>
    <workbookView xWindow="-110" yWindow="-110" windowWidth="19420" windowHeight="10300" xr2:uid="{C285AEC4-56BD-45CD-9F3A-2F1B4AEB2CD3}"/>
  </bookViews>
  <sheets>
    <sheet name="RAPPORT FINANCIER RAPPID_2024" sheetId="1" r:id="rId1"/>
    <sheet name="DEPENSES 2024 PAR RUBRIQUES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5" i="4" l="1"/>
  <c r="F25" i="4"/>
  <c r="D25" i="4"/>
  <c r="H24" i="4"/>
  <c r="F24" i="4"/>
  <c r="D24" i="4"/>
  <c r="I22" i="4"/>
  <c r="H22" i="4"/>
  <c r="G22" i="4"/>
  <c r="F22" i="4"/>
  <c r="D22" i="4"/>
  <c r="H20" i="4"/>
  <c r="F20" i="4"/>
  <c r="D20" i="4"/>
  <c r="I18" i="4"/>
  <c r="F18" i="4"/>
  <c r="E18" i="4"/>
  <c r="C18" i="4"/>
  <c r="D18" i="4" s="1"/>
  <c r="I17" i="4"/>
  <c r="H17" i="4"/>
  <c r="G17" i="4"/>
  <c r="F17" i="4"/>
  <c r="D17" i="4"/>
  <c r="I16" i="4"/>
  <c r="G16" i="4"/>
  <c r="H16" i="4" s="1"/>
  <c r="F16" i="4"/>
  <c r="D16" i="4"/>
  <c r="I15" i="4"/>
  <c r="H15" i="4"/>
  <c r="G15" i="4"/>
  <c r="F15" i="4"/>
  <c r="D15" i="4"/>
  <c r="I14" i="4"/>
  <c r="G14" i="4"/>
  <c r="G18" i="4" s="1"/>
  <c r="H18" i="4" s="1"/>
  <c r="F14" i="4"/>
  <c r="D14" i="4"/>
  <c r="E13" i="4"/>
  <c r="E19" i="4" s="1"/>
  <c r="C13" i="4"/>
  <c r="C19" i="4" s="1"/>
  <c r="I12" i="4"/>
  <c r="H12" i="4"/>
  <c r="G12" i="4"/>
  <c r="F12" i="4"/>
  <c r="D12" i="4"/>
  <c r="G11" i="4"/>
  <c r="H11" i="4" s="1"/>
  <c r="F11" i="4"/>
  <c r="D11" i="4"/>
  <c r="I10" i="4"/>
  <c r="H10" i="4"/>
  <c r="G10" i="4"/>
  <c r="F10" i="4"/>
  <c r="D10" i="4"/>
  <c r="I9" i="4"/>
  <c r="H9" i="4"/>
  <c r="G9" i="4"/>
  <c r="G13" i="4" s="1"/>
  <c r="F9" i="4"/>
  <c r="D9" i="4"/>
  <c r="G19" i="4" l="1"/>
  <c r="H13" i="4"/>
  <c r="I19" i="4"/>
  <c r="E21" i="4"/>
  <c r="F19" i="4"/>
  <c r="C21" i="4"/>
  <c r="D19" i="4"/>
  <c r="F13" i="4"/>
  <c r="D13" i="4"/>
  <c r="H14" i="4"/>
  <c r="C23" i="4" l="1"/>
  <c r="D21" i="4"/>
  <c r="F21" i="4"/>
  <c r="I21" i="4"/>
  <c r="E23" i="4"/>
  <c r="G21" i="4"/>
  <c r="H19" i="4"/>
  <c r="H21" i="4" l="1"/>
  <c r="G23" i="4"/>
  <c r="E26" i="4"/>
  <c r="I23" i="4"/>
  <c r="F23" i="4"/>
  <c r="C26" i="4"/>
  <c r="D26" i="4" s="1"/>
  <c r="D23" i="4"/>
  <c r="F26" i="4" l="1"/>
  <c r="I26" i="4"/>
  <c r="G26" i="4"/>
  <c r="H26" i="4" s="1"/>
  <c r="H23" i="4"/>
  <c r="Q61" i="1"/>
  <c r="U37" i="1" l="1"/>
  <c r="S43" i="1"/>
  <c r="R53" i="1"/>
  <c r="J15" i="1"/>
  <c r="Q68" i="1" l="1"/>
  <c r="K72" i="1" l="1"/>
  <c r="Z100" i="1" l="1"/>
  <c r="Z99" i="1"/>
  <c r="Y100" i="1"/>
  <c r="Y99" i="1"/>
  <c r="U89" i="1"/>
  <c r="M90" i="1" l="1"/>
  <c r="L91" i="1"/>
  <c r="L90" i="1"/>
  <c r="L89" i="1"/>
  <c r="L88" i="1"/>
  <c r="L87" i="1"/>
  <c r="L86" i="1"/>
  <c r="L85" i="1"/>
  <c r="L82" i="1"/>
  <c r="L81" i="1"/>
  <c r="L80" i="1"/>
  <c r="L79" i="1"/>
  <c r="L78" i="1"/>
  <c r="L77" i="1"/>
  <c r="L76" i="1"/>
  <c r="L75" i="1"/>
  <c r="L74" i="1"/>
  <c r="L71" i="1"/>
  <c r="L70" i="1"/>
  <c r="L69" i="1"/>
  <c r="L68" i="1"/>
  <c r="L67" i="1"/>
  <c r="L66" i="1"/>
  <c r="L65" i="1"/>
  <c r="L64" i="1"/>
  <c r="L63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47" i="1"/>
  <c r="K61" i="1" l="1"/>
  <c r="K83" i="1"/>
  <c r="J91" i="1" l="1"/>
  <c r="J90" i="1"/>
  <c r="J89" i="1"/>
  <c r="J88" i="1"/>
  <c r="J87" i="1"/>
  <c r="J85" i="1"/>
  <c r="J82" i="1"/>
  <c r="J81" i="1"/>
  <c r="J80" i="1"/>
  <c r="J79" i="1"/>
  <c r="J78" i="1"/>
  <c r="J77" i="1"/>
  <c r="J76" i="1"/>
  <c r="J75" i="1"/>
  <c r="J74" i="1"/>
  <c r="J71" i="1"/>
  <c r="J70" i="1"/>
  <c r="J69" i="1"/>
  <c r="J68" i="1"/>
  <c r="J66" i="1"/>
  <c r="J65" i="1"/>
  <c r="J64" i="1"/>
  <c r="J63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47" i="1"/>
  <c r="I67" i="1"/>
  <c r="J67" i="1" s="1"/>
  <c r="I86" i="1"/>
  <c r="J86" i="1" s="1"/>
  <c r="Q71" i="1" l="1"/>
  <c r="R71" i="1" s="1"/>
  <c r="R95" i="1"/>
  <c r="R91" i="1"/>
  <c r="R90" i="1"/>
  <c r="R89" i="1"/>
  <c r="R88" i="1"/>
  <c r="R86" i="1"/>
  <c r="R85" i="1"/>
  <c r="R82" i="1"/>
  <c r="R81" i="1"/>
  <c r="R80" i="1"/>
  <c r="R79" i="1"/>
  <c r="R78" i="1"/>
  <c r="R77" i="1"/>
  <c r="R76" i="1"/>
  <c r="R75" i="1"/>
  <c r="R74" i="1"/>
  <c r="R70" i="1"/>
  <c r="R69" i="1"/>
  <c r="R68" i="1"/>
  <c r="R67" i="1"/>
  <c r="R66" i="1"/>
  <c r="R65" i="1"/>
  <c r="R64" i="1"/>
  <c r="R63" i="1"/>
  <c r="R48" i="1"/>
  <c r="R49" i="1"/>
  <c r="R50" i="1"/>
  <c r="R51" i="1"/>
  <c r="R52" i="1"/>
  <c r="R54" i="1"/>
  <c r="R55" i="1"/>
  <c r="R56" i="1"/>
  <c r="R57" i="1"/>
  <c r="R58" i="1"/>
  <c r="R59" i="1"/>
  <c r="R47" i="1"/>
  <c r="Q44" i="1"/>
  <c r="Q31" i="1"/>
  <c r="Q26" i="1"/>
  <c r="Q87" i="1"/>
  <c r="R87" i="1" s="1"/>
  <c r="Q85" i="1"/>
  <c r="Q82" i="1"/>
  <c r="Q60" i="1"/>
  <c r="R60" i="1" s="1"/>
  <c r="O92" i="1" l="1"/>
  <c r="P91" i="1"/>
  <c r="P90" i="1"/>
  <c r="P89" i="1"/>
  <c r="P88" i="1"/>
  <c r="P92" i="1" s="1"/>
  <c r="P87" i="1"/>
  <c r="P86" i="1"/>
  <c r="P85" i="1"/>
  <c r="P82" i="1"/>
  <c r="P81" i="1"/>
  <c r="P80" i="1"/>
  <c r="P79" i="1"/>
  <c r="P78" i="1"/>
  <c r="P77" i="1"/>
  <c r="P76" i="1"/>
  <c r="P75" i="1"/>
  <c r="P74" i="1"/>
  <c r="P71" i="1"/>
  <c r="P70" i="1"/>
  <c r="P69" i="1"/>
  <c r="P68" i="1"/>
  <c r="P67" i="1"/>
  <c r="P66" i="1"/>
  <c r="P65" i="1"/>
  <c r="P64" i="1"/>
  <c r="P63" i="1"/>
  <c r="P57" i="1"/>
  <c r="P56" i="1"/>
  <c r="P55" i="1"/>
  <c r="P54" i="1"/>
  <c r="P53" i="1"/>
  <c r="P49" i="1"/>
  <c r="P48" i="1"/>
  <c r="P47" i="1"/>
  <c r="P60" i="1"/>
  <c r="P59" i="1"/>
  <c r="P58" i="1"/>
  <c r="P52" i="1"/>
  <c r="P51" i="1"/>
  <c r="P50" i="1"/>
  <c r="O44" i="1"/>
  <c r="O35" i="1"/>
  <c r="P43" i="1"/>
  <c r="P42" i="1"/>
  <c r="P41" i="1"/>
  <c r="P40" i="1"/>
  <c r="P39" i="1"/>
  <c r="P38" i="1"/>
  <c r="P37" i="1"/>
  <c r="P34" i="1"/>
  <c r="P33" i="1"/>
  <c r="O31" i="1"/>
  <c r="O26" i="1"/>
  <c r="P30" i="1"/>
  <c r="P29" i="1"/>
  <c r="P28" i="1"/>
  <c r="U15" i="1"/>
  <c r="P16" i="1"/>
  <c r="P17" i="1"/>
  <c r="P18" i="1"/>
  <c r="P19" i="1"/>
  <c r="P20" i="1"/>
  <c r="P21" i="1"/>
  <c r="P22" i="1"/>
  <c r="P23" i="1"/>
  <c r="P24" i="1"/>
  <c r="P25" i="1"/>
  <c r="P15" i="1"/>
  <c r="N91" i="1"/>
  <c r="M91" i="1"/>
  <c r="S91" i="1" s="1"/>
  <c r="N90" i="1"/>
  <c r="N89" i="1"/>
  <c r="M89" i="1"/>
  <c r="N88" i="1"/>
  <c r="M88" i="1"/>
  <c r="N87" i="1"/>
  <c r="M87" i="1"/>
  <c r="N86" i="1"/>
  <c r="M86" i="1"/>
  <c r="N85" i="1"/>
  <c r="M85" i="1"/>
  <c r="N82" i="1"/>
  <c r="M82" i="1"/>
  <c r="N81" i="1"/>
  <c r="M81" i="1"/>
  <c r="N80" i="1"/>
  <c r="M80" i="1"/>
  <c r="N79" i="1"/>
  <c r="M79" i="1"/>
  <c r="N78" i="1"/>
  <c r="M78" i="1"/>
  <c r="N77" i="1"/>
  <c r="M77" i="1"/>
  <c r="N76" i="1"/>
  <c r="M76" i="1"/>
  <c r="N75" i="1"/>
  <c r="M75" i="1"/>
  <c r="N74" i="1"/>
  <c r="M74" i="1"/>
  <c r="N71" i="1"/>
  <c r="M71" i="1"/>
  <c r="N70" i="1"/>
  <c r="M70" i="1"/>
  <c r="N69" i="1"/>
  <c r="M69" i="1"/>
  <c r="N68" i="1"/>
  <c r="M68" i="1"/>
  <c r="N67" i="1"/>
  <c r="M67" i="1"/>
  <c r="N66" i="1"/>
  <c r="M66" i="1"/>
  <c r="N65" i="1"/>
  <c r="M65" i="1"/>
  <c r="N64" i="1"/>
  <c r="M64" i="1"/>
  <c r="N63" i="1"/>
  <c r="M63" i="1"/>
  <c r="N60" i="1"/>
  <c r="M60" i="1"/>
  <c r="N59" i="1"/>
  <c r="M59" i="1"/>
  <c r="N58" i="1"/>
  <c r="M58" i="1"/>
  <c r="N57" i="1"/>
  <c r="M57" i="1"/>
  <c r="S57" i="1" s="1"/>
  <c r="N56" i="1"/>
  <c r="M56" i="1"/>
  <c r="S56" i="1" s="1"/>
  <c r="N55" i="1"/>
  <c r="M55" i="1"/>
  <c r="S55" i="1" s="1"/>
  <c r="N54" i="1"/>
  <c r="M54" i="1"/>
  <c r="N53" i="1"/>
  <c r="M53" i="1"/>
  <c r="N52" i="1"/>
  <c r="M52" i="1"/>
  <c r="N51" i="1"/>
  <c r="M51" i="1"/>
  <c r="N50" i="1"/>
  <c r="M50" i="1"/>
  <c r="N49" i="1"/>
  <c r="M49" i="1"/>
  <c r="N48" i="1"/>
  <c r="M48" i="1"/>
  <c r="N47" i="1"/>
  <c r="M47" i="1"/>
  <c r="P26" i="1" l="1"/>
  <c r="P35" i="1"/>
  <c r="P44" i="1"/>
  <c r="P31" i="1"/>
  <c r="P45" i="1"/>
  <c r="O45" i="1"/>
  <c r="U91" i="1"/>
  <c r="V91" i="1" s="1"/>
  <c r="U90" i="1"/>
  <c r="V90" i="1" s="1"/>
  <c r="V89" i="1"/>
  <c r="U88" i="1"/>
  <c r="V88" i="1" s="1"/>
  <c r="U87" i="1"/>
  <c r="V87" i="1" s="1"/>
  <c r="U86" i="1"/>
  <c r="V86" i="1" s="1"/>
  <c r="U85" i="1"/>
  <c r="V85" i="1" s="1"/>
  <c r="U82" i="1"/>
  <c r="V82" i="1" s="1"/>
  <c r="U81" i="1"/>
  <c r="V81" i="1" s="1"/>
  <c r="U80" i="1"/>
  <c r="V80" i="1" s="1"/>
  <c r="U79" i="1"/>
  <c r="V79" i="1" s="1"/>
  <c r="U78" i="1"/>
  <c r="V78" i="1" s="1"/>
  <c r="U77" i="1"/>
  <c r="V77" i="1" s="1"/>
  <c r="U76" i="1"/>
  <c r="V76" i="1" s="1"/>
  <c r="U75" i="1"/>
  <c r="V75" i="1" s="1"/>
  <c r="U74" i="1"/>
  <c r="U71" i="1"/>
  <c r="V71" i="1" s="1"/>
  <c r="U70" i="1"/>
  <c r="V70" i="1" s="1"/>
  <c r="U69" i="1"/>
  <c r="V69" i="1" s="1"/>
  <c r="U68" i="1"/>
  <c r="V68" i="1" s="1"/>
  <c r="U67" i="1"/>
  <c r="V67" i="1" s="1"/>
  <c r="U66" i="1"/>
  <c r="V66" i="1" s="1"/>
  <c r="U65" i="1"/>
  <c r="V65" i="1" s="1"/>
  <c r="U64" i="1"/>
  <c r="U63" i="1"/>
  <c r="V63" i="1" s="1"/>
  <c r="U60" i="1"/>
  <c r="V60" i="1" s="1"/>
  <c r="U59" i="1"/>
  <c r="V59" i="1" s="1"/>
  <c r="U58" i="1"/>
  <c r="V58" i="1" s="1"/>
  <c r="U57" i="1"/>
  <c r="V57" i="1" s="1"/>
  <c r="U56" i="1"/>
  <c r="V56" i="1" s="1"/>
  <c r="U55" i="1"/>
  <c r="V55" i="1" s="1"/>
  <c r="U54" i="1"/>
  <c r="V54" i="1" s="1"/>
  <c r="U53" i="1"/>
  <c r="V53" i="1" s="1"/>
  <c r="U52" i="1"/>
  <c r="V52" i="1" s="1"/>
  <c r="U51" i="1"/>
  <c r="V51" i="1" s="1"/>
  <c r="U50" i="1"/>
  <c r="V50" i="1" s="1"/>
  <c r="U49" i="1"/>
  <c r="V49" i="1" s="1"/>
  <c r="U48" i="1"/>
  <c r="V48" i="1" s="1"/>
  <c r="U47" i="1"/>
  <c r="V47" i="1" s="1"/>
  <c r="O72" i="1"/>
  <c r="P72" i="1"/>
  <c r="Q72" i="1"/>
  <c r="R72" i="1"/>
  <c r="I72" i="1"/>
  <c r="J72" i="1"/>
  <c r="L72" i="1"/>
  <c r="M72" i="1"/>
  <c r="N72" i="1"/>
  <c r="I83" i="1"/>
  <c r="J83" i="1"/>
  <c r="L83" i="1"/>
  <c r="M83" i="1"/>
  <c r="N83" i="1"/>
  <c r="O83" i="1"/>
  <c r="P83" i="1"/>
  <c r="Q83" i="1"/>
  <c r="R83" i="1"/>
  <c r="T91" i="1"/>
  <c r="S90" i="1"/>
  <c r="T90" i="1" s="1"/>
  <c r="S89" i="1"/>
  <c r="T89" i="1" s="1"/>
  <c r="S88" i="1"/>
  <c r="S87" i="1"/>
  <c r="T87" i="1" s="1"/>
  <c r="S86" i="1"/>
  <c r="T86" i="1" s="1"/>
  <c r="S85" i="1"/>
  <c r="W85" i="1" s="1"/>
  <c r="X85" i="1" s="1"/>
  <c r="S82" i="1"/>
  <c r="T82" i="1" s="1"/>
  <c r="S81" i="1"/>
  <c r="T81" i="1" s="1"/>
  <c r="S80" i="1"/>
  <c r="S79" i="1"/>
  <c r="T79" i="1" s="1"/>
  <c r="S78" i="1"/>
  <c r="S77" i="1"/>
  <c r="T77" i="1" s="1"/>
  <c r="S76" i="1"/>
  <c r="T76" i="1" s="1"/>
  <c r="S75" i="1"/>
  <c r="T75" i="1" s="1"/>
  <c r="S74" i="1"/>
  <c r="S71" i="1"/>
  <c r="T71" i="1" s="1"/>
  <c r="S70" i="1"/>
  <c r="S69" i="1"/>
  <c r="T69" i="1" s="1"/>
  <c r="S68" i="1"/>
  <c r="T68" i="1" s="1"/>
  <c r="S67" i="1"/>
  <c r="T67" i="1" s="1"/>
  <c r="S66" i="1"/>
  <c r="T66" i="1" s="1"/>
  <c r="S65" i="1"/>
  <c r="T65" i="1" s="1"/>
  <c r="S64" i="1"/>
  <c r="T64" i="1" s="1"/>
  <c r="S63" i="1"/>
  <c r="S60" i="1"/>
  <c r="T60" i="1" s="1"/>
  <c r="S59" i="1"/>
  <c r="T59" i="1" s="1"/>
  <c r="S58" i="1"/>
  <c r="T57" i="1"/>
  <c r="T56" i="1"/>
  <c r="T55" i="1"/>
  <c r="S54" i="1"/>
  <c r="S53" i="1"/>
  <c r="T53" i="1" s="1"/>
  <c r="S52" i="1"/>
  <c r="S51" i="1"/>
  <c r="T51" i="1" s="1"/>
  <c r="S50" i="1"/>
  <c r="T50" i="1" s="1"/>
  <c r="S49" i="1"/>
  <c r="T49" i="1" s="1"/>
  <c r="S48" i="1"/>
  <c r="T48" i="1" s="1"/>
  <c r="S47" i="1"/>
  <c r="T47" i="1" s="1"/>
  <c r="I61" i="1"/>
  <c r="J61" i="1"/>
  <c r="L61" i="1"/>
  <c r="M61" i="1"/>
  <c r="N61" i="1"/>
  <c r="O61" i="1"/>
  <c r="P61" i="1"/>
  <c r="R61" i="1"/>
  <c r="R92" i="1"/>
  <c r="Q92" i="1"/>
  <c r="Y92" i="1" s="1"/>
  <c r="N92" i="1"/>
  <c r="M92" i="1"/>
  <c r="L92" i="1"/>
  <c r="K92" i="1"/>
  <c r="J92" i="1"/>
  <c r="I92" i="1"/>
  <c r="Y91" i="1"/>
  <c r="Y90" i="1"/>
  <c r="Y89" i="1"/>
  <c r="Y88" i="1"/>
  <c r="Y87" i="1"/>
  <c r="Y86" i="1"/>
  <c r="Y85" i="1"/>
  <c r="Y82" i="1"/>
  <c r="Y81" i="1"/>
  <c r="Y80" i="1"/>
  <c r="Y79" i="1"/>
  <c r="Y78" i="1"/>
  <c r="Y77" i="1"/>
  <c r="Z76" i="1"/>
  <c r="Y76" i="1"/>
  <c r="Y75" i="1"/>
  <c r="Y74" i="1"/>
  <c r="Y71" i="1"/>
  <c r="Y70" i="1"/>
  <c r="Y69" i="1"/>
  <c r="Y68" i="1"/>
  <c r="Y67" i="1"/>
  <c r="Y66" i="1"/>
  <c r="Y65" i="1"/>
  <c r="Y64" i="1"/>
  <c r="Y63" i="1"/>
  <c r="Y72" i="1" s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3" i="1"/>
  <c r="Y42" i="1"/>
  <c r="Y41" i="1"/>
  <c r="Y40" i="1"/>
  <c r="Y39" i="1"/>
  <c r="Y38" i="1"/>
  <c r="Y37" i="1"/>
  <c r="Y34" i="1"/>
  <c r="Y33" i="1"/>
  <c r="Y30" i="1"/>
  <c r="Y29" i="1"/>
  <c r="Y28" i="1"/>
  <c r="G63" i="1"/>
  <c r="G97" i="1"/>
  <c r="H92" i="1"/>
  <c r="H83" i="1"/>
  <c r="I44" i="1"/>
  <c r="F91" i="1"/>
  <c r="G91" i="1"/>
  <c r="G90" i="1"/>
  <c r="G89" i="1"/>
  <c r="G88" i="1"/>
  <c r="G87" i="1"/>
  <c r="G86" i="1"/>
  <c r="G85" i="1"/>
  <c r="G82" i="1"/>
  <c r="W82" i="1" s="1"/>
  <c r="X82" i="1" s="1"/>
  <c r="G81" i="1"/>
  <c r="G80" i="1"/>
  <c r="Z80" i="1" s="1"/>
  <c r="G79" i="1"/>
  <c r="G78" i="1"/>
  <c r="G77" i="1"/>
  <c r="Z77" i="1" s="1"/>
  <c r="G76" i="1"/>
  <c r="G75" i="1"/>
  <c r="G74" i="1"/>
  <c r="G71" i="1"/>
  <c r="G70" i="1"/>
  <c r="G69" i="1"/>
  <c r="G68" i="1"/>
  <c r="G67" i="1"/>
  <c r="G66" i="1"/>
  <c r="G65" i="1"/>
  <c r="G64" i="1"/>
  <c r="G48" i="1"/>
  <c r="G49" i="1"/>
  <c r="G50" i="1"/>
  <c r="G51" i="1"/>
  <c r="G52" i="1"/>
  <c r="G53" i="1"/>
  <c r="G54" i="1"/>
  <c r="G55" i="1"/>
  <c r="Z55" i="1" s="1"/>
  <c r="G56" i="1"/>
  <c r="W56" i="1" s="1"/>
  <c r="X56" i="1" s="1"/>
  <c r="G58" i="1"/>
  <c r="G47" i="1"/>
  <c r="F100" i="1"/>
  <c r="F99" i="1"/>
  <c r="F97" i="1"/>
  <c r="E91" i="1"/>
  <c r="E90" i="1"/>
  <c r="F90" i="1" s="1"/>
  <c r="E89" i="1"/>
  <c r="F89" i="1" s="1"/>
  <c r="E88" i="1"/>
  <c r="F88" i="1" s="1"/>
  <c r="E87" i="1"/>
  <c r="F87" i="1" s="1"/>
  <c r="E86" i="1"/>
  <c r="E85" i="1"/>
  <c r="F85" i="1" s="1"/>
  <c r="E81" i="1"/>
  <c r="F81" i="1" s="1"/>
  <c r="E80" i="1"/>
  <c r="F80" i="1" s="1"/>
  <c r="E79" i="1"/>
  <c r="F79" i="1" s="1"/>
  <c r="E78" i="1"/>
  <c r="F78" i="1" s="1"/>
  <c r="E77" i="1"/>
  <c r="F77" i="1" s="1"/>
  <c r="E76" i="1"/>
  <c r="F76" i="1" s="1"/>
  <c r="E75" i="1"/>
  <c r="F75" i="1" s="1"/>
  <c r="E74" i="1"/>
  <c r="F74" i="1" s="1"/>
  <c r="E70" i="1"/>
  <c r="F70" i="1" s="1"/>
  <c r="C69" i="1"/>
  <c r="E69" i="1" s="1"/>
  <c r="F69" i="1" s="1"/>
  <c r="E68" i="1"/>
  <c r="F68" i="1" s="1"/>
  <c r="E67" i="1"/>
  <c r="F67" i="1" s="1"/>
  <c r="E66" i="1"/>
  <c r="F66" i="1" s="1"/>
  <c r="E65" i="1"/>
  <c r="F65" i="1" s="1"/>
  <c r="E64" i="1"/>
  <c r="F64" i="1" s="1"/>
  <c r="E63" i="1"/>
  <c r="F63" i="1" s="1"/>
  <c r="E60" i="1"/>
  <c r="F60" i="1" s="1"/>
  <c r="E59" i="1"/>
  <c r="F59" i="1" s="1"/>
  <c r="G59" i="1" s="1"/>
  <c r="D58" i="1"/>
  <c r="E58" i="1" s="1"/>
  <c r="F58" i="1" s="1"/>
  <c r="E57" i="1"/>
  <c r="F57" i="1" s="1"/>
  <c r="G57" i="1" s="1"/>
  <c r="E56" i="1"/>
  <c r="F56" i="1" s="1"/>
  <c r="E55" i="1"/>
  <c r="F55" i="1" s="1"/>
  <c r="E54" i="1"/>
  <c r="F54" i="1" s="1"/>
  <c r="C53" i="1"/>
  <c r="E53" i="1" s="1"/>
  <c r="F53" i="1" s="1"/>
  <c r="E52" i="1"/>
  <c r="F52" i="1" s="1"/>
  <c r="C52" i="1"/>
  <c r="E51" i="1"/>
  <c r="F51" i="1" s="1"/>
  <c r="E50" i="1"/>
  <c r="F50" i="1" s="1"/>
  <c r="E49" i="1"/>
  <c r="F49" i="1" s="1"/>
  <c r="E48" i="1"/>
  <c r="F48" i="1" s="1"/>
  <c r="E47" i="1"/>
  <c r="F47" i="1" s="1"/>
  <c r="W54" i="1" l="1"/>
  <c r="X54" i="1" s="1"/>
  <c r="W74" i="1"/>
  <c r="X74" i="1" s="1"/>
  <c r="Z48" i="1"/>
  <c r="W81" i="1"/>
  <c r="X81" i="1" s="1"/>
  <c r="Z78" i="1"/>
  <c r="Z88" i="1"/>
  <c r="G72" i="1"/>
  <c r="G92" i="1"/>
  <c r="Q93" i="1"/>
  <c r="Y93" i="1" s="1"/>
  <c r="Z89" i="1"/>
  <c r="W89" i="1"/>
  <c r="X89" i="1" s="1"/>
  <c r="Z53" i="1"/>
  <c r="W53" i="1"/>
  <c r="X53" i="1" s="1"/>
  <c r="K93" i="1"/>
  <c r="W68" i="1"/>
  <c r="X68" i="1" s="1"/>
  <c r="Z49" i="1"/>
  <c r="W65" i="1"/>
  <c r="X65" i="1" s="1"/>
  <c r="Z57" i="1"/>
  <c r="H57" i="1"/>
  <c r="F61" i="1"/>
  <c r="W59" i="1"/>
  <c r="X59" i="1" s="1"/>
  <c r="Z59" i="1"/>
  <c r="H59" i="1"/>
  <c r="G61" i="1"/>
  <c r="G93" i="1" s="1"/>
  <c r="H63" i="1"/>
  <c r="H72" i="1" s="1"/>
  <c r="Z58" i="1"/>
  <c r="W48" i="1"/>
  <c r="X48" i="1" s="1"/>
  <c r="Z56" i="1"/>
  <c r="Z81" i="1"/>
  <c r="W77" i="1"/>
  <c r="X77" i="1" s="1"/>
  <c r="E72" i="1"/>
  <c r="F72" i="1" s="1"/>
  <c r="L93" i="1"/>
  <c r="E83" i="1"/>
  <c r="F83" i="1" s="1"/>
  <c r="E92" i="1"/>
  <c r="F92" i="1" s="1"/>
  <c r="Z74" i="1"/>
  <c r="W52" i="1"/>
  <c r="X52" i="1" s="1"/>
  <c r="Z70" i="1"/>
  <c r="W80" i="1"/>
  <c r="X80" i="1" s="1"/>
  <c r="G83" i="1"/>
  <c r="W76" i="1"/>
  <c r="X76" i="1" s="1"/>
  <c r="Z82" i="1"/>
  <c r="Z47" i="1"/>
  <c r="J93" i="1"/>
  <c r="Z63" i="1"/>
  <c r="Z87" i="1"/>
  <c r="W87" i="1"/>
  <c r="X87" i="1" s="1"/>
  <c r="W86" i="1"/>
  <c r="X86" i="1" s="1"/>
  <c r="W88" i="1"/>
  <c r="X88" i="1" s="1"/>
  <c r="W67" i="1"/>
  <c r="X67" i="1" s="1"/>
  <c r="W66" i="1"/>
  <c r="X66" i="1" s="1"/>
  <c r="Z54" i="1"/>
  <c r="T54" i="1"/>
  <c r="V92" i="1"/>
  <c r="Y83" i="1"/>
  <c r="U83" i="1"/>
  <c r="V74" i="1"/>
  <c r="U72" i="1"/>
  <c r="Y61" i="1"/>
  <c r="O93" i="1"/>
  <c r="T85" i="1"/>
  <c r="W90" i="1"/>
  <c r="X90" i="1" s="1"/>
  <c r="W91" i="1"/>
  <c r="X91" i="1" s="1"/>
  <c r="Z85" i="1"/>
  <c r="Z91" i="1"/>
  <c r="T78" i="1"/>
  <c r="T74" i="1"/>
  <c r="T80" i="1"/>
  <c r="W78" i="1"/>
  <c r="X78" i="1" s="1"/>
  <c r="S83" i="1"/>
  <c r="W79" i="1"/>
  <c r="X79" i="1" s="1"/>
  <c r="W75" i="1"/>
  <c r="S72" i="1"/>
  <c r="T63" i="1"/>
  <c r="Z69" i="1"/>
  <c r="M93" i="1"/>
  <c r="W69" i="1"/>
  <c r="X69" i="1" s="1"/>
  <c r="W70" i="1"/>
  <c r="X70" i="1" s="1"/>
  <c r="W63" i="1"/>
  <c r="W71" i="1"/>
  <c r="X71" i="1" s="1"/>
  <c r="Z65" i="1"/>
  <c r="W64" i="1"/>
  <c r="X64" i="1" s="1"/>
  <c r="Z51" i="1"/>
  <c r="W49" i="1"/>
  <c r="X49" i="1" s="1"/>
  <c r="W57" i="1"/>
  <c r="X57" i="1" s="1"/>
  <c r="T52" i="1"/>
  <c r="W50" i="1"/>
  <c r="X50" i="1" s="1"/>
  <c r="W58" i="1"/>
  <c r="X58" i="1" s="1"/>
  <c r="Z52" i="1"/>
  <c r="Z60" i="1"/>
  <c r="T58" i="1"/>
  <c r="W51" i="1"/>
  <c r="X51" i="1" s="1"/>
  <c r="W60" i="1"/>
  <c r="X60" i="1" s="1"/>
  <c r="Z50" i="1"/>
  <c r="W47" i="1"/>
  <c r="X47" i="1" s="1"/>
  <c r="W55" i="1"/>
  <c r="X55" i="1" s="1"/>
  <c r="U92" i="1"/>
  <c r="V83" i="1"/>
  <c r="V64" i="1"/>
  <c r="V72" i="1" s="1"/>
  <c r="V61" i="1"/>
  <c r="U61" i="1"/>
  <c r="P93" i="1"/>
  <c r="P94" i="1" s="1"/>
  <c r="Z86" i="1"/>
  <c r="Z90" i="1"/>
  <c r="T88" i="1"/>
  <c r="S92" i="1"/>
  <c r="Z92" i="1" s="1"/>
  <c r="Z75" i="1"/>
  <c r="Z79" i="1"/>
  <c r="Z66" i="1"/>
  <c r="T70" i="1"/>
  <c r="Z67" i="1"/>
  <c r="Z64" i="1"/>
  <c r="Z68" i="1"/>
  <c r="Z71" i="1"/>
  <c r="S61" i="1"/>
  <c r="R93" i="1"/>
  <c r="N93" i="1"/>
  <c r="I93" i="1"/>
  <c r="E61" i="1"/>
  <c r="F86" i="1"/>
  <c r="Z83" i="1" l="1"/>
  <c r="T61" i="1"/>
  <c r="W92" i="1"/>
  <c r="E93" i="1"/>
  <c r="F93" i="1" s="1"/>
  <c r="Z72" i="1"/>
  <c r="H61" i="1"/>
  <c r="H93" i="1" s="1"/>
  <c r="T92" i="1"/>
  <c r="W83" i="1"/>
  <c r="X92" i="1"/>
  <c r="X75" i="1"/>
  <c r="X83" i="1" s="1"/>
  <c r="Z61" i="1"/>
  <c r="O94" i="1"/>
  <c r="O96" i="1" s="1"/>
  <c r="T83" i="1"/>
  <c r="S93" i="1"/>
  <c r="Z93" i="1" s="1"/>
  <c r="X63" i="1"/>
  <c r="X72" i="1" s="1"/>
  <c r="W72" i="1"/>
  <c r="T72" i="1"/>
  <c r="U93" i="1"/>
  <c r="V93" i="1"/>
  <c r="O98" i="1" l="1"/>
  <c r="O97" i="1"/>
  <c r="P97" i="1" s="1"/>
  <c r="T93" i="1"/>
  <c r="P95" i="1"/>
  <c r="P96" i="1" s="1"/>
  <c r="Y16" i="1"/>
  <c r="Y17" i="1"/>
  <c r="Y18" i="1"/>
  <c r="Y19" i="1"/>
  <c r="Y20" i="1"/>
  <c r="Y21" i="1"/>
  <c r="Y22" i="1"/>
  <c r="Y23" i="1"/>
  <c r="Y24" i="1"/>
  <c r="Y25" i="1"/>
  <c r="Y15" i="1"/>
  <c r="U43" i="1"/>
  <c r="V43" i="1" s="1"/>
  <c r="U42" i="1"/>
  <c r="V42" i="1" s="1"/>
  <c r="U41" i="1"/>
  <c r="V41" i="1" s="1"/>
  <c r="U40" i="1"/>
  <c r="V40" i="1" s="1"/>
  <c r="U39" i="1"/>
  <c r="V39" i="1" s="1"/>
  <c r="U38" i="1"/>
  <c r="V38" i="1" s="1"/>
  <c r="V37" i="1"/>
  <c r="U34" i="1"/>
  <c r="V34" i="1" s="1"/>
  <c r="U33" i="1"/>
  <c r="V33" i="1" s="1"/>
  <c r="U30" i="1"/>
  <c r="V30" i="1" s="1"/>
  <c r="U29" i="1"/>
  <c r="V29" i="1" s="1"/>
  <c r="U25" i="1"/>
  <c r="V25" i="1" s="1"/>
  <c r="U24" i="1"/>
  <c r="V24" i="1" s="1"/>
  <c r="U23" i="1"/>
  <c r="V23" i="1" s="1"/>
  <c r="U22" i="1"/>
  <c r="V22" i="1" s="1"/>
  <c r="U21" i="1"/>
  <c r="V21" i="1" s="1"/>
  <c r="U20" i="1"/>
  <c r="V20" i="1" s="1"/>
  <c r="U19" i="1"/>
  <c r="V19" i="1" s="1"/>
  <c r="U18" i="1"/>
  <c r="V18" i="1" s="1"/>
  <c r="U17" i="1"/>
  <c r="V17" i="1" s="1"/>
  <c r="U16" i="1"/>
  <c r="V16" i="1" s="1"/>
  <c r="S39" i="1"/>
  <c r="M43" i="1"/>
  <c r="M42" i="1"/>
  <c r="S42" i="1" s="1"/>
  <c r="M41" i="1"/>
  <c r="S41" i="1" s="1"/>
  <c r="M40" i="1"/>
  <c r="S40" i="1" s="1"/>
  <c r="M39" i="1"/>
  <c r="M38" i="1"/>
  <c r="S38" i="1" s="1"/>
  <c r="M37" i="1"/>
  <c r="S37" i="1" s="1"/>
  <c r="M34" i="1"/>
  <c r="S34" i="1" s="1"/>
  <c r="M33" i="1"/>
  <c r="S33" i="1" s="1"/>
  <c r="M30" i="1"/>
  <c r="S30" i="1" s="1"/>
  <c r="M29" i="1"/>
  <c r="M31" i="1" s="1"/>
  <c r="M16" i="1"/>
  <c r="M17" i="1"/>
  <c r="S17" i="1" s="1"/>
  <c r="M18" i="1"/>
  <c r="S18" i="1" s="1"/>
  <c r="M19" i="1"/>
  <c r="S19" i="1" s="1"/>
  <c r="M20" i="1"/>
  <c r="S20" i="1" s="1"/>
  <c r="M21" i="1"/>
  <c r="S21" i="1" s="1"/>
  <c r="M22" i="1"/>
  <c r="S22" i="1" s="1"/>
  <c r="M23" i="1"/>
  <c r="S23" i="1" s="1"/>
  <c r="M24" i="1"/>
  <c r="S24" i="1" s="1"/>
  <c r="M25" i="1"/>
  <c r="S25" i="1" s="1"/>
  <c r="M15" i="1"/>
  <c r="S15" i="1" s="1"/>
  <c r="G17" i="1"/>
  <c r="P101" i="1" l="1"/>
  <c r="M26" i="1"/>
  <c r="P98" i="1"/>
  <c r="T34" i="1"/>
  <c r="M35" i="1"/>
  <c r="S29" i="1"/>
  <c r="T29" i="1" s="1"/>
  <c r="V35" i="1"/>
  <c r="T43" i="1"/>
  <c r="T42" i="1"/>
  <c r="T41" i="1"/>
  <c r="T40" i="1"/>
  <c r="T39" i="1"/>
  <c r="T38" i="1"/>
  <c r="T30" i="1"/>
  <c r="V31" i="1"/>
  <c r="W17" i="1"/>
  <c r="X17" i="1" s="1"/>
  <c r="T24" i="1"/>
  <c r="T23" i="1"/>
  <c r="T22" i="1"/>
  <c r="T33" i="1"/>
  <c r="T35" i="1" s="1"/>
  <c r="S35" i="1"/>
  <c r="T19" i="1"/>
  <c r="T37" i="1"/>
  <c r="S44" i="1"/>
  <c r="V44" i="1"/>
  <c r="T18" i="1"/>
  <c r="T21" i="1"/>
  <c r="T25" i="1"/>
  <c r="T17" i="1"/>
  <c r="Z17" i="1"/>
  <c r="T20" i="1"/>
  <c r="T15" i="1"/>
  <c r="U35" i="1"/>
  <c r="S16" i="1"/>
  <c r="S26" i="1" s="1"/>
  <c r="M44" i="1"/>
  <c r="U44" i="1"/>
  <c r="U26" i="1"/>
  <c r="U31" i="1"/>
  <c r="V15" i="1"/>
  <c r="V26" i="1" s="1"/>
  <c r="T31" i="1" l="1"/>
  <c r="M45" i="1"/>
  <c r="M94" i="1" s="1"/>
  <c r="M96" i="1" s="1"/>
  <c r="S31" i="1"/>
  <c r="T44" i="1"/>
  <c r="S45" i="1"/>
  <c r="S94" i="1" s="1"/>
  <c r="O101" i="1"/>
  <c r="U45" i="1"/>
  <c r="U94" i="1" s="1"/>
  <c r="U96" i="1" s="1"/>
  <c r="T16" i="1"/>
  <c r="T26" i="1" s="1"/>
  <c r="V45" i="1"/>
  <c r="V94" i="1" s="1"/>
  <c r="V96" i="1" s="1"/>
  <c r="T45" i="1" l="1"/>
  <c r="T94" i="1" s="1"/>
  <c r="T96" i="1" s="1"/>
  <c r="S96" i="1"/>
  <c r="I31" i="1"/>
  <c r="I35" i="1"/>
  <c r="K26" i="1"/>
  <c r="K44" i="1" l="1"/>
  <c r="R43" i="1"/>
  <c r="L43" i="1"/>
  <c r="J43" i="1"/>
  <c r="N43" i="1" s="1"/>
  <c r="E43" i="1"/>
  <c r="G43" i="1" s="1"/>
  <c r="R42" i="1"/>
  <c r="L42" i="1"/>
  <c r="J42" i="1"/>
  <c r="N42" i="1" s="1"/>
  <c r="E42" i="1"/>
  <c r="R41" i="1"/>
  <c r="L41" i="1"/>
  <c r="J41" i="1"/>
  <c r="N41" i="1" s="1"/>
  <c r="E41" i="1"/>
  <c r="G41" i="1" s="1"/>
  <c r="R40" i="1"/>
  <c r="L40" i="1"/>
  <c r="J40" i="1"/>
  <c r="N40" i="1" s="1"/>
  <c r="E40" i="1"/>
  <c r="G40" i="1" s="1"/>
  <c r="R39" i="1"/>
  <c r="L39" i="1"/>
  <c r="J39" i="1"/>
  <c r="N39" i="1" s="1"/>
  <c r="E39" i="1"/>
  <c r="G39" i="1" s="1"/>
  <c r="R38" i="1"/>
  <c r="L38" i="1"/>
  <c r="J38" i="1"/>
  <c r="N38" i="1" s="1"/>
  <c r="E38" i="1"/>
  <c r="G38" i="1" s="1"/>
  <c r="R37" i="1"/>
  <c r="L37" i="1"/>
  <c r="J37" i="1"/>
  <c r="N37" i="1" s="1"/>
  <c r="E37" i="1"/>
  <c r="Q35" i="1"/>
  <c r="Q45" i="1" s="1"/>
  <c r="L35" i="1"/>
  <c r="K35" i="1"/>
  <c r="R34" i="1"/>
  <c r="J34" i="1"/>
  <c r="N34" i="1" s="1"/>
  <c r="H34" i="1"/>
  <c r="G34" i="1" s="1"/>
  <c r="E34" i="1"/>
  <c r="F34" i="1" s="1"/>
  <c r="R33" i="1"/>
  <c r="J33" i="1"/>
  <c r="N33" i="1" s="1"/>
  <c r="N35" i="1" s="1"/>
  <c r="E33" i="1"/>
  <c r="E35" i="1" s="1"/>
  <c r="F35" i="1" s="1"/>
  <c r="F32" i="1"/>
  <c r="K31" i="1"/>
  <c r="R30" i="1"/>
  <c r="L30" i="1"/>
  <c r="J30" i="1"/>
  <c r="N30" i="1" s="1"/>
  <c r="E30" i="1"/>
  <c r="H30" i="1" s="1"/>
  <c r="G30" i="1" s="1"/>
  <c r="R29" i="1"/>
  <c r="L29" i="1"/>
  <c r="J29" i="1"/>
  <c r="N29" i="1" s="1"/>
  <c r="E29" i="1"/>
  <c r="H29" i="1" s="1"/>
  <c r="G29" i="1" s="1"/>
  <c r="J28" i="1"/>
  <c r="E28" i="1"/>
  <c r="I26" i="1"/>
  <c r="I45" i="1" s="1"/>
  <c r="I94" i="1" s="1"/>
  <c r="I96" i="1" s="1"/>
  <c r="I97" i="1" s="1"/>
  <c r="L25" i="1"/>
  <c r="J25" i="1"/>
  <c r="D25" i="1"/>
  <c r="C25" i="1"/>
  <c r="L24" i="1"/>
  <c r="J24" i="1"/>
  <c r="N24" i="1" s="1"/>
  <c r="D24" i="1"/>
  <c r="C24" i="1"/>
  <c r="L23" i="1"/>
  <c r="J23" i="1"/>
  <c r="D23" i="1"/>
  <c r="C23" i="1"/>
  <c r="R22" i="1"/>
  <c r="L22" i="1"/>
  <c r="J22" i="1"/>
  <c r="E22" i="1"/>
  <c r="R21" i="1"/>
  <c r="L21" i="1"/>
  <c r="J21" i="1"/>
  <c r="E21" i="1"/>
  <c r="F21" i="1" s="1"/>
  <c r="R20" i="1"/>
  <c r="L20" i="1"/>
  <c r="J20" i="1"/>
  <c r="D20" i="1"/>
  <c r="E20" i="1" s="1"/>
  <c r="R19" i="1"/>
  <c r="L19" i="1"/>
  <c r="J19" i="1"/>
  <c r="E19" i="1"/>
  <c r="H19" i="1" s="1"/>
  <c r="G19" i="1" s="1"/>
  <c r="R18" i="1"/>
  <c r="L18" i="1"/>
  <c r="J18" i="1"/>
  <c r="E18" i="1"/>
  <c r="R17" i="1"/>
  <c r="L17" i="1"/>
  <c r="J17" i="1"/>
  <c r="E17" i="1"/>
  <c r="R16" i="1"/>
  <c r="L16" i="1"/>
  <c r="J16" i="1"/>
  <c r="D16" i="1"/>
  <c r="E16" i="1" s="1"/>
  <c r="R15" i="1"/>
  <c r="L15" i="1"/>
  <c r="N15" i="1" s="1"/>
  <c r="D15" i="1"/>
  <c r="E15" i="1" s="1"/>
  <c r="F7" i="1"/>
  <c r="E7" i="1"/>
  <c r="E4" i="1"/>
  <c r="J5" i="1" s="1"/>
  <c r="N25" i="1" l="1"/>
  <c r="N17" i="1"/>
  <c r="N19" i="1"/>
  <c r="N21" i="1"/>
  <c r="J97" i="1"/>
  <c r="I98" i="1"/>
  <c r="I101" i="1" s="1"/>
  <c r="W43" i="1"/>
  <c r="X43" i="1" s="1"/>
  <c r="Z43" i="1"/>
  <c r="W34" i="1"/>
  <c r="X34" i="1" s="1"/>
  <c r="Z34" i="1"/>
  <c r="W41" i="1"/>
  <c r="X41" i="1" s="1"/>
  <c r="Z41" i="1"/>
  <c r="W30" i="1"/>
  <c r="X30" i="1" s="1"/>
  <c r="Z30" i="1"/>
  <c r="W39" i="1"/>
  <c r="X39" i="1" s="1"/>
  <c r="Z39" i="1"/>
  <c r="N44" i="1"/>
  <c r="E31" i="1"/>
  <c r="F31" i="1" s="1"/>
  <c r="H15" i="1"/>
  <c r="W29" i="1"/>
  <c r="X29" i="1" s="1"/>
  <c r="Z29" i="1"/>
  <c r="Z38" i="1"/>
  <c r="W38" i="1"/>
  <c r="X38" i="1" s="1"/>
  <c r="W40" i="1"/>
  <c r="X40" i="1" s="1"/>
  <c r="Z40" i="1"/>
  <c r="W19" i="1"/>
  <c r="X19" i="1" s="1"/>
  <c r="Z19" i="1"/>
  <c r="N23" i="1"/>
  <c r="N31" i="1"/>
  <c r="N16" i="1"/>
  <c r="N18" i="1"/>
  <c r="N20" i="1"/>
  <c r="N22" i="1"/>
  <c r="K45" i="1"/>
  <c r="K94" i="1" s="1"/>
  <c r="K96" i="1" s="1"/>
  <c r="E23" i="1"/>
  <c r="F23" i="1" s="1"/>
  <c r="J26" i="1"/>
  <c r="E24" i="1"/>
  <c r="H24" i="1" s="1"/>
  <c r="G24" i="1" s="1"/>
  <c r="R35" i="1"/>
  <c r="E25" i="1"/>
  <c r="F25" i="1" s="1"/>
  <c r="J31" i="1"/>
  <c r="R26" i="1"/>
  <c r="J35" i="1"/>
  <c r="E44" i="1"/>
  <c r="F44" i="1" s="1"/>
  <c r="F22" i="1"/>
  <c r="G22" i="1"/>
  <c r="F39" i="1"/>
  <c r="L31" i="1"/>
  <c r="L44" i="1"/>
  <c r="F17" i="1"/>
  <c r="F41" i="1"/>
  <c r="L26" i="1"/>
  <c r="F40" i="1"/>
  <c r="H21" i="1"/>
  <c r="G21" i="1" s="1"/>
  <c r="J44" i="1"/>
  <c r="R44" i="1"/>
  <c r="F15" i="1"/>
  <c r="F18" i="1"/>
  <c r="G18" i="1"/>
  <c r="H20" i="1"/>
  <c r="G20" i="1" s="1"/>
  <c r="F20" i="1"/>
  <c r="F16" i="1"/>
  <c r="H16" i="1"/>
  <c r="G16" i="1" s="1"/>
  <c r="G37" i="1"/>
  <c r="H35" i="1"/>
  <c r="G33" i="1"/>
  <c r="F29" i="1"/>
  <c r="F42" i="1"/>
  <c r="F19" i="1"/>
  <c r="F30" i="1"/>
  <c r="F43" i="1"/>
  <c r="F28" i="1"/>
  <c r="G42" i="1"/>
  <c r="F37" i="1"/>
  <c r="H28" i="1"/>
  <c r="F38" i="1"/>
  <c r="F33" i="1"/>
  <c r="J4" i="1"/>
  <c r="J6" i="1" s="1"/>
  <c r="R31" i="1"/>
  <c r="F4" i="1"/>
  <c r="J45" i="1" l="1"/>
  <c r="J94" i="1" s="1"/>
  <c r="J96" i="1" s="1"/>
  <c r="K97" i="1"/>
  <c r="K98" i="1" s="1"/>
  <c r="K101" i="1" s="1"/>
  <c r="J98" i="1"/>
  <c r="J101" i="1" s="1"/>
  <c r="W33" i="1"/>
  <c r="X33" i="1" s="1"/>
  <c r="G35" i="1"/>
  <c r="Z33" i="1"/>
  <c r="W37" i="1"/>
  <c r="X37" i="1" s="1"/>
  <c r="G44" i="1"/>
  <c r="Z37" i="1"/>
  <c r="W42" i="1"/>
  <c r="X42" i="1" s="1"/>
  <c r="Z42" i="1"/>
  <c r="E26" i="1"/>
  <c r="H23" i="1"/>
  <c r="G23" i="1" s="1"/>
  <c r="Z23" i="1" s="1"/>
  <c r="N26" i="1"/>
  <c r="N45" i="1" s="1"/>
  <c r="N94" i="1" s="1"/>
  <c r="N96" i="1" s="1"/>
  <c r="Q94" i="1"/>
  <c r="W23" i="1"/>
  <c r="X23" i="1" s="1"/>
  <c r="W18" i="1"/>
  <c r="X18" i="1" s="1"/>
  <c r="Z18" i="1"/>
  <c r="W24" i="1"/>
  <c r="X24" i="1" s="1"/>
  <c r="Z24" i="1"/>
  <c r="W16" i="1"/>
  <c r="X16" i="1" s="1"/>
  <c r="Z16" i="1"/>
  <c r="W20" i="1"/>
  <c r="X20" i="1" s="1"/>
  <c r="Z20" i="1"/>
  <c r="W21" i="1"/>
  <c r="X21" i="1" s="1"/>
  <c r="Z21" i="1"/>
  <c r="W22" i="1"/>
  <c r="X22" i="1" s="1"/>
  <c r="Z22" i="1"/>
  <c r="F24" i="1"/>
  <c r="H25" i="1"/>
  <c r="G25" i="1" s="1"/>
  <c r="R45" i="1"/>
  <c r="R94" i="1" s="1"/>
  <c r="R96" i="1" s="1"/>
  <c r="L45" i="1"/>
  <c r="L94" i="1" s="1"/>
  <c r="L96" i="1" s="1"/>
  <c r="H44" i="1"/>
  <c r="G28" i="1"/>
  <c r="H31" i="1"/>
  <c r="E5" i="1"/>
  <c r="H5" i="1" s="1"/>
  <c r="F5" i="1"/>
  <c r="G15" i="1"/>
  <c r="G26" i="1" s="1"/>
  <c r="Q96" i="1" l="1"/>
  <c r="Q97" i="1" s="1"/>
  <c r="Y94" i="1"/>
  <c r="L97" i="1"/>
  <c r="N97" i="1" s="1"/>
  <c r="N98" i="1" s="1"/>
  <c r="N101" i="1" s="1"/>
  <c r="M97" i="1"/>
  <c r="W28" i="1"/>
  <c r="X28" i="1" s="1"/>
  <c r="G31" i="1"/>
  <c r="G45" i="1" s="1"/>
  <c r="G94" i="1" s="1"/>
  <c r="Z28" i="1"/>
  <c r="F26" i="1"/>
  <c r="E45" i="1"/>
  <c r="W25" i="1"/>
  <c r="X25" i="1" s="1"/>
  <c r="Z25" i="1"/>
  <c r="W15" i="1"/>
  <c r="Z15" i="1"/>
  <c r="H26" i="1"/>
  <c r="H45" i="1" s="1"/>
  <c r="H94" i="1" s="1"/>
  <c r="H96" i="1" s="1"/>
  <c r="H98" i="1" s="1"/>
  <c r="H101" i="1" s="1"/>
  <c r="W44" i="1"/>
  <c r="X44" i="1"/>
  <c r="X35" i="1"/>
  <c r="W35" i="1"/>
  <c r="G96" i="1" l="1"/>
  <c r="G98" i="1" s="1"/>
  <c r="G101" i="1" s="1"/>
  <c r="Z94" i="1"/>
  <c r="Z96" i="1" s="1"/>
  <c r="Y96" i="1"/>
  <c r="U97" i="1"/>
  <c r="Y97" i="1"/>
  <c r="S97" i="1"/>
  <c r="M98" i="1"/>
  <c r="M101" i="1" s="1"/>
  <c r="L98" i="1"/>
  <c r="L101" i="1" s="1"/>
  <c r="R97" i="1"/>
  <c r="R98" i="1" s="1"/>
  <c r="R101" i="1" s="1"/>
  <c r="Q98" i="1"/>
  <c r="F45" i="1"/>
  <c r="E94" i="1"/>
  <c r="F6" i="1"/>
  <c r="E6" i="1" s="1"/>
  <c r="H6" i="1" s="1"/>
  <c r="X31" i="1"/>
  <c r="W31" i="1"/>
  <c r="X15" i="1"/>
  <c r="X26" i="1" s="1"/>
  <c r="W26" i="1"/>
  <c r="Q101" i="1" l="1"/>
  <c r="Y101" i="1" s="1"/>
  <c r="Y98" i="1"/>
  <c r="V97" i="1"/>
  <c r="V98" i="1" s="1"/>
  <c r="V101" i="1" s="1"/>
  <c r="U98" i="1"/>
  <c r="U101" i="1" s="1"/>
  <c r="S98" i="1"/>
  <c r="W97" i="1"/>
  <c r="X97" i="1" s="1"/>
  <c r="T97" i="1"/>
  <c r="T98" i="1" s="1"/>
  <c r="T101" i="1" s="1"/>
  <c r="Z97" i="1"/>
  <c r="F94" i="1"/>
  <c r="E95" i="1"/>
  <c r="X45" i="1"/>
  <c r="H7" i="1"/>
  <c r="W45" i="1"/>
  <c r="S101" i="1" l="1"/>
  <c r="Z101" i="1" s="1"/>
  <c r="Z98" i="1"/>
  <c r="F95" i="1"/>
  <c r="E96" i="1"/>
  <c r="F96" i="1" l="1"/>
  <c r="E98" i="1"/>
  <c r="X61" i="1"/>
  <c r="X93" i="1" s="1"/>
  <c r="X94" i="1" s="1"/>
  <c r="X96" i="1" s="1"/>
  <c r="W61" i="1"/>
  <c r="W93" i="1" s="1"/>
  <c r="W94" i="1" s="1"/>
  <c r="W96" i="1" s="1"/>
  <c r="W98" i="1" s="1"/>
  <c r="W101" i="1" s="1"/>
  <c r="X98" i="1" l="1"/>
  <c r="X101" i="1" s="1"/>
  <c r="E101" i="1"/>
  <c r="F98" i="1"/>
  <c r="F101" i="1" s="1"/>
</calcChain>
</file>

<file path=xl/sharedStrings.xml><?xml version="1.0" encoding="utf-8"?>
<sst xmlns="http://schemas.openxmlformats.org/spreadsheetml/2006/main" count="241" uniqueCount="133">
  <si>
    <t xml:space="preserve"> </t>
  </si>
  <si>
    <t>Budget alloué</t>
  </si>
  <si>
    <t>APB</t>
  </si>
  <si>
    <t>Activités</t>
  </si>
  <si>
    <t>UE</t>
  </si>
  <si>
    <t>RH+Fonct</t>
  </si>
  <si>
    <t>Total</t>
  </si>
  <si>
    <t>Cout indirect</t>
  </si>
  <si>
    <t>Cout indirect % for RNE:</t>
  </si>
  <si>
    <t>1. Budget de l’action</t>
  </si>
  <si>
    <t>Planification Toutes les années</t>
  </si>
  <si>
    <t>Commentaires</t>
  </si>
  <si>
    <t>Coûts</t>
  </si>
  <si>
    <t>Unité</t>
  </si>
  <si>
    <t>Nº d'unités</t>
  </si>
  <si>
    <t>Valeur unitaire              (en EUR)</t>
  </si>
  <si>
    <t>Coût total                (en EUR)</t>
  </si>
  <si>
    <t>Coût total                (en FCFA)</t>
  </si>
  <si>
    <t>1. Ressources humaines</t>
  </si>
  <si>
    <t>FCFA</t>
  </si>
  <si>
    <t>Euro</t>
  </si>
  <si>
    <t>NIMD/IGD</t>
  </si>
  <si>
    <t>1.1 Coordonnateur du projet 30%</t>
  </si>
  <si>
    <t>Par mois</t>
  </si>
  <si>
    <t>1.2 Responsable Administratif et Financier 50%</t>
  </si>
  <si>
    <t xml:space="preserve">1.3 Chargé de projet 100% </t>
  </si>
  <si>
    <t>1.4 Assistant Comptable projet 100%</t>
  </si>
  <si>
    <t>1.5 Secrétaire projet 50%</t>
  </si>
  <si>
    <t>1.6 Chargé suivi-évaluation du projet 50%</t>
  </si>
  <si>
    <t>1.7 Chauffeur coursier 100%</t>
  </si>
  <si>
    <t>1.8 Gardien 100%</t>
  </si>
  <si>
    <t xml:space="preserve">1.9 Technical assistance finance and control </t>
  </si>
  <si>
    <t>Par jour</t>
  </si>
  <si>
    <t>1.10 Technical assistance programme development, thematic advise and MEAL</t>
  </si>
  <si>
    <t>1.11 Technical assistance political advise, lobby and advocacy</t>
  </si>
  <si>
    <t>Sous-total Ressources humaines</t>
  </si>
  <si>
    <t>2. Véhicules</t>
  </si>
  <si>
    <t>2.1. Achat véhicule</t>
  </si>
  <si>
    <t>2.2. Entretien véhicule</t>
  </si>
  <si>
    <t>2.3. Carburant véhicule</t>
  </si>
  <si>
    <t>Sous-total Véhicules</t>
  </si>
  <si>
    <t xml:space="preserve">3. Équipement informatiques </t>
  </si>
  <si>
    <t>3.1 Matériel informatique (Ordinateur secrétaire, Assistant Comptable, Chargé de Projet, Chargé de Programme Régional)</t>
  </si>
  <si>
    <t>Par personne</t>
  </si>
  <si>
    <t>3.2 Matériel informatique (imprimante)</t>
  </si>
  <si>
    <t>Sous-total Équipement</t>
  </si>
  <si>
    <t xml:space="preserve">4. Fournitures, consommables et frais financiers </t>
  </si>
  <si>
    <t xml:space="preserve">  </t>
  </si>
  <si>
    <t>4.1 Contribution Consommables - fournitures de bureau</t>
  </si>
  <si>
    <t>4.2 Contribution Location de bureaux</t>
  </si>
  <si>
    <t>4.3 Contribution communication</t>
  </si>
  <si>
    <t>4.4.Contribution électricité/chauffage</t>
  </si>
  <si>
    <t>4.5 Contribution office maintenance</t>
  </si>
  <si>
    <t xml:space="preserve">4.6 Contribution Coûts d'assurances </t>
  </si>
  <si>
    <t xml:space="preserve">Par an </t>
  </si>
  <si>
    <t>4.7 Services financiers (coûts de garantie bancaire, etc.)</t>
  </si>
  <si>
    <t>Sous-total office running costs</t>
  </si>
  <si>
    <t>Total Fonctionnement</t>
  </si>
  <si>
    <t>7.  Sous-total des coûts directs éligibles de l'action (1 à 6)</t>
  </si>
  <si>
    <t xml:space="preserve">8. Provision pour imprévus (maximum 5 % de la ligne 7 Sous-total des coûts directs éligibles de l’action </t>
  </si>
  <si>
    <t xml:space="preserve">9. Total des coûts directs éligibles de l'action (7+8) </t>
  </si>
  <si>
    <t xml:space="preserve">10. Coûts indirects (maximum 10 % de la ligne 7 Sous-total des coûts directs éligibles de l’action) </t>
  </si>
  <si>
    <t>11. Total des coûts éligibles (9+10)</t>
  </si>
  <si>
    <t>12.  - Taxes</t>
  </si>
  <si>
    <t>12.  - Contributions en nature</t>
  </si>
  <si>
    <t>13. Total des coûts acceptés de l'action (11+12)</t>
  </si>
  <si>
    <t>EUR</t>
  </si>
  <si>
    <t>PROGRAMME PLURIANNUEL DE : RENFORCEMENT ET APPUI POUR DES PARTIS POLITIQUES INCLUSIFS ET DEMOCRATIQUES – RAPPID (2022-2026)</t>
  </si>
  <si>
    <t>AMBASSADE DES PAYS-BAS</t>
  </si>
  <si>
    <t>Dépenses 2024</t>
  </si>
  <si>
    <t>Cumul des dépenses antérieures</t>
  </si>
  <si>
    <t>Dépenses cumulées à fin 2024</t>
  </si>
  <si>
    <t>BUDGET 2024</t>
  </si>
  <si>
    <t>Solde Budget 2024 au 31.12.2024</t>
  </si>
  <si>
    <t>% consommation 2024</t>
  </si>
  <si>
    <t>% Consommation globale</t>
  </si>
  <si>
    <t>Activités transversales</t>
  </si>
  <si>
    <t xml:space="preserve">A.0.1 Lancement officel et  présentation du programme </t>
  </si>
  <si>
    <t>Par atelier</t>
  </si>
  <si>
    <t>A.0.2 Atelier d’appropriation des acteurs de mise en œuvre sur les outils/approches ainsi que les procédures à utiliser dans le cadre du projet</t>
  </si>
  <si>
    <t>A.0.3 Etude de référence (semi interne)</t>
  </si>
  <si>
    <t>Par étude</t>
  </si>
  <si>
    <t>A.0.4 Elaboration d'un plan de communication et de visibilité</t>
  </si>
  <si>
    <t>A.0.5 Mise en place du Comité de suivi du projet et ateliers de planification et de revue semestriels et annuels </t>
  </si>
  <si>
    <t>A.0.6 Mission de suivi évaluation interne périodique et de mis en œuvre du projet</t>
  </si>
  <si>
    <t>Par mission</t>
  </si>
  <si>
    <t>A.0.7 Mission de suivi évaluation externe et assurance qualité NIMD Pays-Bas</t>
  </si>
  <si>
    <t>A.0.8 Evaluations externes, à mi-parcours et finale</t>
  </si>
  <si>
    <t>A.0.9 Coûts d'audit/vérification des dépenses</t>
  </si>
  <si>
    <t>Par audit</t>
  </si>
  <si>
    <t>A.0.10 Actions de visibilité</t>
  </si>
  <si>
    <t>A.0.11 Atelier de capitalisation et de clôture du projet </t>
  </si>
  <si>
    <t>A.0.12 Facilitateur d'appui au projet</t>
  </si>
  <si>
    <t>A.0.13 Renforcement capacités IGD en appui aux partis politique et gouvernance</t>
  </si>
  <si>
    <t>Forfait</t>
  </si>
  <si>
    <t>A.0.14 Séances de travail périodiques avec les partis politiques (nouvelle activité)</t>
  </si>
  <si>
    <t>Par activité</t>
  </si>
  <si>
    <t>Sous-total Activités transversales</t>
  </si>
  <si>
    <t>R1 Résultat 1. Les partis politiques sont plus inclusifs, plus attractifs, plus représentatifs et performants</t>
  </si>
  <si>
    <t>A1-1 : Appui des partis en matériel bureautique et informatique et en Equipements d'éducation à distance</t>
  </si>
  <si>
    <t xml:space="preserve">A1-2 : Appui dans l'élaboration des outils de fonctionnement: Plan stratégique, Plan de Communication, Plan de formation, et autres outils spécifiques </t>
  </si>
  <si>
    <t xml:space="preserve">A1-3 : Accompagnement dans l’initiation ou la poursuite de l’élaboration de politiques sensibles genre et des stratégies d’autonomisation des jeunes et des femmes </t>
  </si>
  <si>
    <t>A1-4 : Appui à la mise en place des pôles de compétences de formateurs au sein des partis (formation des formateurs, divers appuis écoles des partis politiques)</t>
  </si>
  <si>
    <t>A1-5 : Appui aux initiatives de redevabilité et d’interaction avec les militant(e)s à la base des partis et accompagnement dans la mise en œuvre des programmes d’activités et Plans de Travail Annuels des partis</t>
  </si>
  <si>
    <t xml:space="preserve">A1-6 : Création et fonctionnement d’une école multipartite de la démocratie </t>
  </si>
  <si>
    <t>A1-7: Animation politique villageoise-causerie débats avec les communautés à la base (Sous l'arbre à palabres)</t>
  </si>
  <si>
    <t xml:space="preserve">A1-8 Création des espaces débat élu/ citoyens (cafés politiques) </t>
  </si>
  <si>
    <t>A.1.9. Appui aux partis politiques pour la construction de bases de données consolidées et modernes (nouvelle activité)</t>
  </si>
  <si>
    <t>Sous-total Résultat 1</t>
  </si>
  <si>
    <t>(R2) : L’environnement partisan et électoral béninois est favorable au rayonnement et à l’action efficace des partis politiques.</t>
  </si>
  <si>
    <t>A2-1 : Faciliter le renforcement des capacités de la Commission Electorale Nationale Autonome (Conseil Electoral et Direction Générale des Elections)</t>
  </si>
  <si>
    <t xml:space="preserve">A2-2 : Accompagner la CENA dans la formation et l’accompagnement des partis politiques dans le cadre des processus électoraux </t>
  </si>
  <si>
    <t>A2-3 : Appuyer le Médiateur de la République dans ses missions d’apaisement et de conciliation spécifiques au système partisan (dispositif d’alerte précoce et de prévention de conflits politiques et sociaux)</t>
  </si>
  <si>
    <t>A2-4 : Appui à la création et au fonctionnement d’un cadre de concertation des différents acteurs dans cinq communes pour prévenir les crises politiques et communautaires</t>
  </si>
  <si>
    <t>A2-5 : Voyages d’échanges et de partage d'expériences institutions et Partis Politiques</t>
  </si>
  <si>
    <t xml:space="preserve">A2-6: Campagne de sensibilisation pour la paix en période électorale (Vote Fifa 229) </t>
  </si>
  <si>
    <t>A2-7 : Audiences publiques des députés (système politique, système électoral etc)</t>
  </si>
  <si>
    <t>A2-8 : Colloques scientifiques et recherche-action (assortis de publication)</t>
  </si>
  <si>
    <t>A.2-9 Appui au Ministères sectoriels dans leurs rôles et missions dans le système partisan et le système électoral (Nouvelle activité)</t>
  </si>
  <si>
    <t>Sous-total Résultat 2</t>
  </si>
  <si>
    <t>(R3) : Le dialogue interpartis est devenu un outil de prévention et règlement des crises politiques au Bénin</t>
  </si>
  <si>
    <t>A3-1 : Renforcement des capacités des responsables de partis politiques et d’Institutions de la République sur les techniques et principes du dialogue interpartis et les thématiques connexes</t>
  </si>
  <si>
    <t>A3-2 : Mise en place et fonctionnement de la plateforme permanente de dialogue interpartis du Bénin et appui au fonctionnement de son secrétariat permanent.</t>
  </si>
  <si>
    <t>A3-3 : suivi des initiatives issues des résolutions des processus de dialogue interpartis de la plateforme</t>
  </si>
  <si>
    <t>A3-5 : Initiative  ‘’La Conférence des élus’’ dans les communes à Statut particulier</t>
  </si>
  <si>
    <t>A3-6: Les Caucus multipartites des dirigeants (ou responsables) politiques</t>
  </si>
  <si>
    <t>A3-8: Mise en place et animation du Réseau des Journalistes et Communicateurs spécialistes du dialogue interpartis</t>
  </si>
  <si>
    <t>A3-9 : Colloques scientifiques et recherche-action (assortis de publication)</t>
  </si>
  <si>
    <t>Sous-total Résultat 3</t>
  </si>
  <si>
    <t>Total activités</t>
  </si>
  <si>
    <t>Dépenses approuvées 2023</t>
  </si>
  <si>
    <t>Dépenses approuvées 2022</t>
  </si>
  <si>
    <t>Solde Budget global au 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</si>
</sst>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64" formatCode="_ * #,##0_ ;_ * \-#,##0_ ;_ * &quot;-&quot;_ ;_ @_ "/>
    <numFmt numFmtId="165" formatCode="_-* #,##0\ _C_F_A_-;\-* #,##0\ _C_F_A_-;_-* &quot;-&quot;\ _C_F_A_-;_-@_-"/>
    <numFmt numFmtId="166" formatCode="_-* #,##0.00\ _€_-;\-* #,##0.00\ _€_-;_-* &quot;-&quot;??\ _€_-;_-@_-"/>
    <numFmt numFmtId="167" formatCode="_-* #,##0.0\ _C_F_A_-;\-* #,##0.0\ _C_F_A_-;_-* &quot;-&quot;?\ _C_F_A_-;_-@_-"/>
    <numFmt numFmtId="168" formatCode="0.00000000%"/>
    <numFmt numFmtId="169" formatCode="0.0%"/>
    <numFmt numFmtId="170" formatCode="_ * #,##0.000_ ;_ * \-#,##0.000_ ;_ * &quot;-&quot;_ ;_ @_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 Light"/>
      <family val="2"/>
      <scheme val="major"/>
    </font>
    <font>
      <i/>
      <sz val="10"/>
      <name val="Calibri Light"/>
      <family val="2"/>
      <scheme val="major"/>
    </font>
    <font>
      <b/>
      <sz val="10"/>
      <name val="Calibri Light"/>
      <family val="2"/>
      <scheme val="major"/>
    </font>
    <font>
      <b/>
      <i/>
      <sz val="10"/>
      <name val="Calibri Light"/>
      <family val="2"/>
      <scheme val="major"/>
    </font>
    <font>
      <b/>
      <i/>
      <u/>
      <sz val="10"/>
      <name val="Calibri Light"/>
      <family val="2"/>
      <scheme val="major"/>
    </font>
    <font>
      <b/>
      <sz val="16"/>
      <name val="Calibri Light"/>
      <family val="2"/>
      <scheme val="major"/>
    </font>
    <font>
      <sz val="18"/>
      <name val="Calibri Light"/>
      <family val="2"/>
      <scheme val="major"/>
    </font>
    <font>
      <sz val="20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8"/>
      <name val="Calibri Light"/>
      <family val="2"/>
      <scheme val="major"/>
    </font>
    <font>
      <b/>
      <sz val="12"/>
      <name val="Calibri Light"/>
      <family val="2"/>
      <scheme val="major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000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1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9" fontId="2" fillId="0" borderId="0" xfId="2" applyFont="1" applyBorder="1" applyAlignment="1">
      <alignment vertical="center"/>
    </xf>
    <xf numFmtId="9" fontId="2" fillId="0" borderId="0" xfId="2" applyFont="1" applyAlignment="1">
      <alignment vertical="center"/>
    </xf>
    <xf numFmtId="0" fontId="4" fillId="0" borderId="0" xfId="0" applyFont="1" applyAlignment="1">
      <alignment vertical="center"/>
    </xf>
    <xf numFmtId="165" fontId="4" fillId="0" borderId="0" xfId="1" applyFont="1" applyAlignment="1">
      <alignment vertical="center"/>
    </xf>
    <xf numFmtId="166" fontId="2" fillId="0" borderId="0" xfId="3" applyFont="1" applyBorder="1" applyAlignment="1">
      <alignment vertical="center"/>
    </xf>
    <xf numFmtId="0" fontId="4" fillId="0" borderId="0" xfId="0" applyFont="1"/>
    <xf numFmtId="164" fontId="2" fillId="0" borderId="1" xfId="0" applyNumberFormat="1" applyFont="1" applyBorder="1" applyAlignment="1">
      <alignment vertical="center"/>
    </xf>
    <xf numFmtId="9" fontId="2" fillId="0" borderId="1" xfId="2" applyFont="1" applyBorder="1" applyAlignment="1">
      <alignment horizontal="right" vertical="center"/>
    </xf>
    <xf numFmtId="164" fontId="4" fillId="0" borderId="2" xfId="0" applyNumberFormat="1" applyFont="1" applyBorder="1" applyAlignment="1">
      <alignment vertical="center"/>
    </xf>
    <xf numFmtId="9" fontId="4" fillId="0" borderId="3" xfId="2" applyFont="1" applyBorder="1" applyAlignment="1">
      <alignment vertical="center"/>
    </xf>
    <xf numFmtId="165" fontId="2" fillId="0" borderId="0" xfId="1" applyFont="1" applyBorder="1" applyAlignment="1">
      <alignment vertical="center"/>
    </xf>
    <xf numFmtId="164" fontId="4" fillId="0" borderId="4" xfId="0" applyNumberFormat="1" applyFont="1" applyBorder="1" applyAlignment="1">
      <alignment vertical="center"/>
    </xf>
    <xf numFmtId="9" fontId="4" fillId="0" borderId="5" xfId="2" applyFont="1" applyBorder="1" applyAlignment="1">
      <alignment vertical="center"/>
    </xf>
    <xf numFmtId="164" fontId="4" fillId="0" borderId="6" xfId="0" applyNumberFormat="1" applyFont="1" applyBorder="1" applyAlignment="1">
      <alignment vertical="center"/>
    </xf>
    <xf numFmtId="9" fontId="4" fillId="0" borderId="7" xfId="2" applyFont="1" applyBorder="1" applyAlignment="1">
      <alignment vertical="center"/>
    </xf>
    <xf numFmtId="167" fontId="4" fillId="0" borderId="0" xfId="0" applyNumberFormat="1" applyFont="1" applyAlignment="1">
      <alignment vertical="center"/>
    </xf>
    <xf numFmtId="165" fontId="4" fillId="0" borderId="1" xfId="1" applyFont="1" applyBorder="1" applyAlignment="1">
      <alignment vertical="center"/>
    </xf>
    <xf numFmtId="164" fontId="2" fillId="0" borderId="1" xfId="0" applyNumberFormat="1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8" fontId="2" fillId="7" borderId="1" xfId="2" applyNumberFormat="1" applyFont="1" applyFill="1" applyBorder="1" applyAlignment="1">
      <alignment horizontal="right" vertical="center"/>
    </xf>
    <xf numFmtId="165" fontId="2" fillId="7" borderId="10" xfId="1" applyFont="1" applyFill="1" applyBorder="1" applyAlignment="1">
      <alignment vertical="center"/>
    </xf>
    <xf numFmtId="164" fontId="4" fillId="4" borderId="5" xfId="0" applyNumberFormat="1" applyFont="1" applyFill="1" applyBorder="1" applyAlignment="1">
      <alignment vertical="center"/>
    </xf>
    <xf numFmtId="164" fontId="2" fillId="4" borderId="5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 wrapText="1"/>
    </xf>
    <xf numFmtId="164" fontId="4" fillId="2" borderId="5" xfId="0" applyNumberFormat="1" applyFont="1" applyFill="1" applyBorder="1" applyAlignment="1">
      <alignment vertical="center"/>
    </xf>
    <xf numFmtId="169" fontId="2" fillId="0" borderId="1" xfId="2" applyNumberFormat="1" applyFont="1" applyBorder="1" applyAlignment="1">
      <alignment horizontal="right" vertical="center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vertical="center"/>
    </xf>
    <xf numFmtId="164" fontId="2" fillId="7" borderId="5" xfId="0" applyNumberFormat="1" applyFont="1" applyFill="1" applyBorder="1" applyAlignment="1">
      <alignment vertical="center"/>
    </xf>
    <xf numFmtId="0" fontId="2" fillId="7" borderId="0" xfId="0" applyFont="1" applyFill="1" applyAlignment="1">
      <alignment vertical="center"/>
    </xf>
    <xf numFmtId="9" fontId="2" fillId="7" borderId="0" xfId="2" applyFont="1" applyFill="1" applyAlignment="1">
      <alignment vertical="center"/>
    </xf>
    <xf numFmtId="0" fontId="4" fillId="7" borderId="12" xfId="0" applyFont="1" applyFill="1" applyBorder="1" applyAlignment="1">
      <alignment horizontal="centerContinuous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164" fontId="4" fillId="4" borderId="4" xfId="0" applyNumberFormat="1" applyFont="1" applyFill="1" applyBorder="1" applyAlignment="1">
      <alignment vertical="center"/>
    </xf>
    <xf numFmtId="164" fontId="2" fillId="4" borderId="4" xfId="0" applyNumberFormat="1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vertical="center"/>
    </xf>
    <xf numFmtId="0" fontId="4" fillId="7" borderId="4" xfId="0" applyFont="1" applyFill="1" applyBorder="1" applyAlignment="1">
      <alignment vertical="center" wrapText="1"/>
    </xf>
    <xf numFmtId="0" fontId="4" fillId="7" borderId="5" xfId="0" applyFont="1" applyFill="1" applyBorder="1" applyAlignment="1">
      <alignment vertical="center" wrapText="1"/>
    </xf>
    <xf numFmtId="164" fontId="4" fillId="3" borderId="4" xfId="0" applyNumberFormat="1" applyFont="1" applyFill="1" applyBorder="1" applyAlignment="1">
      <alignment vertical="center"/>
    </xf>
    <xf numFmtId="164" fontId="4" fillId="3" borderId="5" xfId="0" applyNumberFormat="1" applyFont="1" applyFill="1" applyBorder="1" applyAlignment="1">
      <alignment vertical="center"/>
    </xf>
    <xf numFmtId="0" fontId="4" fillId="7" borderId="15" xfId="0" applyFont="1" applyFill="1" applyBorder="1" applyAlignment="1">
      <alignment horizontal="centerContinuous" vertical="center" wrapText="1"/>
    </xf>
    <xf numFmtId="0" fontId="4" fillId="7" borderId="16" xfId="0" applyFont="1" applyFill="1" applyBorder="1" applyAlignment="1">
      <alignment vertical="center" wrapText="1"/>
    </xf>
    <xf numFmtId="164" fontId="2" fillId="3" borderId="4" xfId="0" applyNumberFormat="1" applyFont="1" applyFill="1" applyBorder="1" applyAlignment="1">
      <alignment vertical="center"/>
    </xf>
    <xf numFmtId="164" fontId="2" fillId="3" borderId="5" xfId="0" applyNumberFormat="1" applyFont="1" applyFill="1" applyBorder="1" applyAlignment="1">
      <alignment vertical="center"/>
    </xf>
    <xf numFmtId="164" fontId="4" fillId="3" borderId="6" xfId="0" applyNumberFormat="1" applyFont="1" applyFill="1" applyBorder="1" applyAlignment="1">
      <alignment vertical="center"/>
    </xf>
    <xf numFmtId="164" fontId="4" fillId="3" borderId="7" xfId="0" applyNumberFormat="1" applyFont="1" applyFill="1" applyBorder="1" applyAlignment="1">
      <alignment vertical="center"/>
    </xf>
    <xf numFmtId="165" fontId="2" fillId="4" borderId="4" xfId="1" applyFont="1" applyFill="1" applyBorder="1" applyAlignment="1">
      <alignment vertical="center"/>
    </xf>
    <xf numFmtId="165" fontId="2" fillId="0" borderId="4" xfId="1" applyFont="1" applyBorder="1" applyAlignment="1">
      <alignment vertical="center"/>
    </xf>
    <xf numFmtId="165" fontId="2" fillId="0" borderId="5" xfId="1" applyFont="1" applyBorder="1" applyAlignment="1">
      <alignment vertical="center"/>
    </xf>
    <xf numFmtId="165" fontId="4" fillId="2" borderId="4" xfId="1" applyFont="1" applyFill="1" applyBorder="1" applyAlignment="1">
      <alignment vertical="center"/>
    </xf>
    <xf numFmtId="165" fontId="4" fillId="2" borderId="5" xfId="1" applyFont="1" applyFill="1" applyBorder="1" applyAlignment="1">
      <alignment vertical="center"/>
    </xf>
    <xf numFmtId="165" fontId="4" fillId="6" borderId="4" xfId="1" applyFont="1" applyFill="1" applyBorder="1" applyAlignment="1">
      <alignment vertical="center"/>
    </xf>
    <xf numFmtId="165" fontId="4" fillId="6" borderId="5" xfId="1" applyFont="1" applyFill="1" applyBorder="1" applyAlignment="1">
      <alignment vertical="center"/>
    </xf>
    <xf numFmtId="165" fontId="4" fillId="2" borderId="15" xfId="1" applyFont="1" applyFill="1" applyBorder="1" applyAlignment="1">
      <alignment vertical="center"/>
    </xf>
    <xf numFmtId="165" fontId="2" fillId="5" borderId="4" xfId="1" applyFont="1" applyFill="1" applyBorder="1" applyAlignment="1">
      <alignment vertical="center"/>
    </xf>
    <xf numFmtId="165" fontId="2" fillId="5" borderId="5" xfId="1" applyFont="1" applyFill="1" applyBorder="1" applyAlignment="1">
      <alignment vertical="center"/>
    </xf>
    <xf numFmtId="165" fontId="2" fillId="9" borderId="4" xfId="1" applyFont="1" applyFill="1" applyBorder="1" applyAlignment="1">
      <alignment vertical="center"/>
    </xf>
    <xf numFmtId="0" fontId="2" fillId="9" borderId="5" xfId="0" applyFont="1" applyFill="1" applyBorder="1" applyAlignment="1">
      <alignment vertical="center"/>
    </xf>
    <xf numFmtId="0" fontId="2" fillId="9" borderId="4" xfId="0" applyFont="1" applyFill="1" applyBorder="1" applyAlignment="1">
      <alignment vertical="center"/>
    </xf>
    <xf numFmtId="165" fontId="2" fillId="9" borderId="5" xfId="1" applyFont="1" applyFill="1" applyBorder="1" applyAlignment="1">
      <alignment vertical="center"/>
    </xf>
    <xf numFmtId="165" fontId="2" fillId="9" borderId="5" xfId="1" applyFont="1" applyFill="1" applyBorder="1" applyAlignment="1">
      <alignment horizontal="right" vertical="center"/>
    </xf>
    <xf numFmtId="164" fontId="4" fillId="2" borderId="15" xfId="0" applyNumberFormat="1" applyFont="1" applyFill="1" applyBorder="1" applyAlignment="1">
      <alignment vertical="center"/>
    </xf>
    <xf numFmtId="164" fontId="2" fillId="8" borderId="4" xfId="0" applyNumberFormat="1" applyFont="1" applyFill="1" applyBorder="1" applyAlignment="1">
      <alignment vertical="center"/>
    </xf>
    <xf numFmtId="164" fontId="2" fillId="8" borderId="5" xfId="0" applyNumberFormat="1" applyFont="1" applyFill="1" applyBorder="1" applyAlignment="1">
      <alignment vertical="center"/>
    </xf>
    <xf numFmtId="164" fontId="2" fillId="7" borderId="4" xfId="0" applyNumberFormat="1" applyFont="1" applyFill="1" applyBorder="1" applyAlignment="1">
      <alignment vertical="center"/>
    </xf>
    <xf numFmtId="164" fontId="2" fillId="7" borderId="17" xfId="0" applyNumberFormat="1" applyFont="1" applyFill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164" fontId="4" fillId="4" borderId="19" xfId="0" applyNumberFormat="1" applyFont="1" applyFill="1" applyBorder="1" applyAlignment="1">
      <alignment vertical="center"/>
    </xf>
    <xf numFmtId="164" fontId="4" fillId="4" borderId="10" xfId="0" applyNumberFormat="1" applyFont="1" applyFill="1" applyBorder="1" applyAlignment="1">
      <alignment vertical="center"/>
    </xf>
    <xf numFmtId="9" fontId="2" fillId="4" borderId="10" xfId="2" applyFont="1" applyFill="1" applyBorder="1" applyAlignment="1">
      <alignment vertical="center"/>
    </xf>
    <xf numFmtId="164" fontId="4" fillId="2" borderId="10" xfId="0" applyNumberFormat="1" applyFont="1" applyFill="1" applyBorder="1" applyAlignment="1">
      <alignment vertical="center"/>
    </xf>
    <xf numFmtId="0" fontId="2" fillId="0" borderId="20" xfId="0" applyFont="1" applyBorder="1" applyAlignment="1">
      <alignment vertical="center"/>
    </xf>
    <xf numFmtId="164" fontId="2" fillId="4" borderId="10" xfId="0" applyNumberFormat="1" applyFont="1" applyFill="1" applyBorder="1" applyAlignment="1">
      <alignment vertical="center"/>
    </xf>
    <xf numFmtId="0" fontId="4" fillId="7" borderId="10" xfId="0" applyFont="1" applyFill="1" applyBorder="1" applyAlignment="1">
      <alignment vertical="center" wrapText="1"/>
    </xf>
    <xf numFmtId="164" fontId="2" fillId="7" borderId="10" xfId="0" applyNumberFormat="1" applyFont="1" applyFill="1" applyBorder="1" applyAlignment="1">
      <alignment vertical="center"/>
    </xf>
    <xf numFmtId="0" fontId="4" fillId="10" borderId="1" xfId="0" applyFont="1" applyFill="1" applyBorder="1" applyAlignment="1">
      <alignment vertical="center"/>
    </xf>
    <xf numFmtId="164" fontId="2" fillId="10" borderId="1" xfId="0" applyNumberFormat="1" applyFont="1" applyFill="1" applyBorder="1" applyAlignment="1">
      <alignment vertical="center"/>
    </xf>
    <xf numFmtId="164" fontId="4" fillId="10" borderId="1" xfId="0" applyNumberFormat="1" applyFont="1" applyFill="1" applyBorder="1" applyAlignment="1">
      <alignment vertical="center"/>
    </xf>
    <xf numFmtId="164" fontId="4" fillId="10" borderId="4" xfId="0" applyNumberFormat="1" applyFont="1" applyFill="1" applyBorder="1" applyAlignment="1">
      <alignment vertical="center"/>
    </xf>
    <xf numFmtId="164" fontId="4" fillId="10" borderId="5" xfId="0" applyNumberFormat="1" applyFont="1" applyFill="1" applyBorder="1" applyAlignment="1">
      <alignment vertical="center"/>
    </xf>
    <xf numFmtId="0" fontId="3" fillId="10" borderId="1" xfId="0" applyFont="1" applyFill="1" applyBorder="1" applyAlignment="1">
      <alignment horizontal="center" vertical="center"/>
    </xf>
    <xf numFmtId="1" fontId="2" fillId="10" borderId="1" xfId="0" applyNumberFormat="1" applyFont="1" applyFill="1" applyBorder="1" applyAlignment="1">
      <alignment vertical="center"/>
    </xf>
    <xf numFmtId="164" fontId="2" fillId="10" borderId="4" xfId="0" applyNumberFormat="1" applyFont="1" applyFill="1" applyBorder="1" applyAlignment="1">
      <alignment vertical="center"/>
    </xf>
    <xf numFmtId="164" fontId="2" fillId="10" borderId="5" xfId="0" applyNumberFormat="1" applyFont="1" applyFill="1" applyBorder="1" applyAlignment="1">
      <alignment vertical="center"/>
    </xf>
    <xf numFmtId="0" fontId="2" fillId="10" borderId="1" xfId="0" applyFont="1" applyFill="1" applyBorder="1" applyAlignment="1">
      <alignment vertical="center"/>
    </xf>
    <xf numFmtId="0" fontId="4" fillId="10" borderId="1" xfId="0" applyFont="1" applyFill="1" applyBorder="1" applyAlignment="1">
      <alignment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vertical="center" wrapText="1"/>
    </xf>
    <xf numFmtId="0" fontId="4" fillId="10" borderId="5" xfId="0" applyFont="1" applyFill="1" applyBorder="1" applyAlignment="1">
      <alignment vertical="center" wrapText="1"/>
    </xf>
    <xf numFmtId="0" fontId="2" fillId="10" borderId="1" xfId="0" applyFont="1" applyFill="1" applyBorder="1" applyAlignment="1">
      <alignment horizontal="center" vertical="center"/>
    </xf>
    <xf numFmtId="165" fontId="2" fillId="10" borderId="1" xfId="1" applyFont="1" applyFill="1" applyBorder="1" applyAlignment="1">
      <alignment horizontal="justify" vertical="center" wrapText="1"/>
    </xf>
    <xf numFmtId="168" fontId="2" fillId="10" borderId="1" xfId="2" applyNumberFormat="1" applyFont="1" applyFill="1" applyBorder="1" applyAlignment="1">
      <alignment horizontal="right" vertical="center"/>
    </xf>
    <xf numFmtId="165" fontId="2" fillId="0" borderId="0" xfId="1" applyFont="1" applyAlignment="1">
      <alignment vertical="center"/>
    </xf>
    <xf numFmtId="165" fontId="4" fillId="2" borderId="4" xfId="1" applyFont="1" applyFill="1" applyBorder="1" applyAlignment="1">
      <alignment horizontal="center" vertical="center" wrapText="1"/>
    </xf>
    <xf numFmtId="165" fontId="4" fillId="4" borderId="4" xfId="1" applyFont="1" applyFill="1" applyBorder="1" applyAlignment="1">
      <alignment vertical="center"/>
    </xf>
    <xf numFmtId="165" fontId="4" fillId="7" borderId="4" xfId="1" applyFont="1" applyFill="1" applyBorder="1" applyAlignment="1">
      <alignment vertical="center" wrapText="1"/>
    </xf>
    <xf numFmtId="165" fontId="4" fillId="3" borderId="5" xfId="1" applyFont="1" applyFill="1" applyBorder="1" applyAlignment="1">
      <alignment vertical="center"/>
    </xf>
    <xf numFmtId="165" fontId="2" fillId="3" borderId="5" xfId="1" applyFont="1" applyFill="1" applyBorder="1" applyAlignment="1">
      <alignment vertical="center"/>
    </xf>
    <xf numFmtId="165" fontId="4" fillId="3" borderId="7" xfId="1" applyFont="1" applyFill="1" applyBorder="1" applyAlignment="1">
      <alignment vertical="center"/>
    </xf>
    <xf numFmtId="9" fontId="4" fillId="3" borderId="5" xfId="2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0" fontId="4" fillId="0" borderId="15" xfId="0" applyFont="1" applyBorder="1" applyAlignment="1">
      <alignment horizontal="left" vertical="center" wrapText="1"/>
    </xf>
    <xf numFmtId="0" fontId="2" fillId="0" borderId="15" xfId="0" applyFont="1" applyBorder="1" applyAlignment="1">
      <alignment vertical="center" wrapText="1"/>
    </xf>
    <xf numFmtId="0" fontId="5" fillId="2" borderId="15" xfId="0" applyFont="1" applyFill="1" applyBorder="1" applyAlignment="1">
      <alignment vertical="center" wrapText="1"/>
    </xf>
    <xf numFmtId="4" fontId="2" fillId="0" borderId="15" xfId="0" applyNumberFormat="1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10" borderId="4" xfId="0" applyFont="1" applyFill="1" applyBorder="1" applyAlignment="1">
      <alignment horizontal="center" vertical="center"/>
    </xf>
    <xf numFmtId="0" fontId="3" fillId="10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 wrapText="1"/>
    </xf>
    <xf numFmtId="0" fontId="4" fillId="7" borderId="16" xfId="0" applyFont="1" applyFill="1" applyBorder="1" applyAlignment="1">
      <alignment horizontal="centerContinuous" vertical="center" wrapText="1"/>
    </xf>
    <xf numFmtId="0" fontId="3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164" fontId="3" fillId="3" borderId="21" xfId="0" applyNumberFormat="1" applyFont="1" applyFill="1" applyBorder="1" applyAlignment="1">
      <alignment vertical="center"/>
    </xf>
    <xf numFmtId="164" fontId="4" fillId="3" borderId="21" xfId="0" applyNumberFormat="1" applyFont="1" applyFill="1" applyBorder="1" applyAlignment="1">
      <alignment vertical="center"/>
    </xf>
    <xf numFmtId="164" fontId="4" fillId="3" borderId="10" xfId="0" applyNumberFormat="1" applyFont="1" applyFill="1" applyBorder="1" applyAlignment="1">
      <alignment vertical="center"/>
    </xf>
    <xf numFmtId="164" fontId="2" fillId="3" borderId="10" xfId="0" applyNumberFormat="1" applyFont="1" applyFill="1" applyBorder="1" applyAlignment="1">
      <alignment vertical="center"/>
    </xf>
    <xf numFmtId="164" fontId="4" fillId="3" borderId="22" xfId="0" applyNumberFormat="1" applyFont="1" applyFill="1" applyBorder="1" applyAlignment="1">
      <alignment vertical="center"/>
    </xf>
    <xf numFmtId="0" fontId="4" fillId="7" borderId="15" xfId="0" applyFont="1" applyFill="1" applyBorder="1" applyAlignment="1">
      <alignment vertical="center" wrapText="1"/>
    </xf>
    <xf numFmtId="0" fontId="5" fillId="3" borderId="15" xfId="0" applyFont="1" applyFill="1" applyBorder="1" applyAlignment="1">
      <alignment vertical="center" wrapText="1"/>
    </xf>
    <xf numFmtId="0" fontId="4" fillId="3" borderId="15" xfId="0" applyFont="1" applyFill="1" applyBorder="1" applyAlignment="1">
      <alignment vertical="center" wrapText="1"/>
    </xf>
    <xf numFmtId="0" fontId="2" fillId="3" borderId="15" xfId="0" applyFont="1" applyFill="1" applyBorder="1" applyAlignment="1">
      <alignment vertical="center" wrapText="1"/>
    </xf>
    <xf numFmtId="0" fontId="4" fillId="3" borderId="23" xfId="0" applyFont="1" applyFill="1" applyBorder="1" applyAlignment="1">
      <alignment vertical="center" wrapText="1"/>
    </xf>
    <xf numFmtId="9" fontId="8" fillId="11" borderId="22" xfId="2" applyFont="1" applyFill="1" applyBorder="1" applyAlignment="1">
      <alignment vertical="center"/>
    </xf>
    <xf numFmtId="9" fontId="9" fillId="12" borderId="22" xfId="2" applyFont="1" applyFill="1" applyBorder="1" applyAlignment="1">
      <alignment vertical="center"/>
    </xf>
    <xf numFmtId="164" fontId="2" fillId="4" borderId="22" xfId="0" applyNumberFormat="1" applyFont="1" applyFill="1" applyBorder="1" applyAlignment="1">
      <alignment vertical="center"/>
    </xf>
    <xf numFmtId="0" fontId="10" fillId="0" borderId="13" xfId="0" applyFont="1" applyBorder="1" applyAlignment="1">
      <alignment horizontal="left" vertical="center" wrapText="1"/>
    </xf>
    <xf numFmtId="165" fontId="4" fillId="0" borderId="0" xfId="1" applyFont="1" applyBorder="1" applyAlignment="1">
      <alignment vertical="center"/>
    </xf>
    <xf numFmtId="164" fontId="2" fillId="9" borderId="5" xfId="0" applyNumberFormat="1" applyFont="1" applyFill="1" applyBorder="1" applyAlignment="1">
      <alignment vertical="center"/>
    </xf>
    <xf numFmtId="170" fontId="4" fillId="0" borderId="0" xfId="0" applyNumberFormat="1" applyFont="1" applyAlignment="1">
      <alignment vertical="center"/>
    </xf>
    <xf numFmtId="165" fontId="2" fillId="9" borderId="4" xfId="1" applyFont="1" applyFill="1" applyBorder="1" applyAlignment="1">
      <alignment horizontal="right" vertical="center"/>
    </xf>
    <xf numFmtId="165" fontId="4" fillId="6" borderId="5" xfId="1" applyFon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4" fillId="2" borderId="23" xfId="0" applyFont="1" applyFill="1" applyBorder="1" applyAlignment="1">
      <alignment horizontal="left" vertical="center" wrapText="1"/>
    </xf>
    <xf numFmtId="41" fontId="4" fillId="2" borderId="27" xfId="4" applyFont="1" applyFill="1" applyBorder="1" applyAlignment="1">
      <alignment horizontal="center" vertical="center" wrapText="1"/>
    </xf>
    <xf numFmtId="164" fontId="4" fillId="2" borderId="28" xfId="0" applyNumberFormat="1" applyFont="1" applyFill="1" applyBorder="1" applyAlignment="1">
      <alignment horizontal="center" vertical="center" wrapText="1"/>
    </xf>
    <xf numFmtId="164" fontId="4" fillId="2" borderId="27" xfId="0" applyNumberFormat="1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 wrapText="1"/>
    </xf>
    <xf numFmtId="41" fontId="2" fillId="4" borderId="30" xfId="4" applyFont="1" applyFill="1" applyBorder="1" applyAlignment="1">
      <alignment vertical="center"/>
    </xf>
    <xf numFmtId="164" fontId="2" fillId="4" borderId="31" xfId="0" applyNumberFormat="1" applyFont="1" applyFill="1" applyBorder="1" applyAlignment="1">
      <alignment vertical="center"/>
    </xf>
    <xf numFmtId="41" fontId="2" fillId="7" borderId="30" xfId="4" applyFont="1" applyFill="1" applyBorder="1" applyAlignment="1">
      <alignment vertical="center"/>
    </xf>
    <xf numFmtId="164" fontId="2" fillId="4" borderId="30" xfId="0" applyNumberFormat="1" applyFont="1" applyFill="1" applyBorder="1" applyAlignment="1">
      <alignment vertical="center"/>
    </xf>
    <xf numFmtId="9" fontId="2" fillId="4" borderId="19" xfId="2" applyFont="1" applyFill="1" applyBorder="1" applyAlignment="1">
      <alignment vertical="center"/>
    </xf>
    <xf numFmtId="0" fontId="2" fillId="0" borderId="15" xfId="0" applyFont="1" applyBorder="1" applyAlignment="1">
      <alignment horizontal="left" vertical="center" wrapText="1"/>
    </xf>
    <xf numFmtId="41" fontId="2" fillId="4" borderId="4" xfId="4" applyFont="1" applyFill="1" applyBorder="1" applyAlignment="1">
      <alignment vertical="center"/>
    </xf>
    <xf numFmtId="41" fontId="2" fillId="7" borderId="4" xfId="4" applyFont="1" applyFill="1" applyBorder="1" applyAlignment="1">
      <alignment vertical="center"/>
    </xf>
    <xf numFmtId="0" fontId="4" fillId="2" borderId="15" xfId="0" applyFont="1" applyFill="1" applyBorder="1" applyAlignment="1">
      <alignment horizontal="left" vertical="center" wrapText="1"/>
    </xf>
    <xf numFmtId="41" fontId="4" fillId="2" borderId="5" xfId="4" applyFont="1" applyFill="1" applyBorder="1" applyAlignment="1">
      <alignment vertical="center"/>
    </xf>
    <xf numFmtId="41" fontId="4" fillId="2" borderId="15" xfId="4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2" fillId="7" borderId="15" xfId="0" applyFont="1" applyFill="1" applyBorder="1" applyAlignment="1">
      <alignment horizontal="left" vertical="center" wrapText="1"/>
    </xf>
    <xf numFmtId="41" fontId="2" fillId="7" borderId="4" xfId="4" applyFont="1" applyFill="1" applyBorder="1" applyAlignment="1">
      <alignment vertical="center" wrapText="1"/>
    </xf>
    <xf numFmtId="0" fontId="2" fillId="7" borderId="32" xfId="0" applyFont="1" applyFill="1" applyBorder="1" applyAlignment="1">
      <alignment horizontal="left" vertical="center" wrapText="1"/>
    </xf>
    <xf numFmtId="41" fontId="2" fillId="7" borderId="33" xfId="4" applyFont="1" applyFill="1" applyBorder="1" applyAlignment="1">
      <alignment vertical="center" wrapText="1"/>
    </xf>
    <xf numFmtId="164" fontId="2" fillId="4" borderId="34" xfId="0" applyNumberFormat="1" applyFont="1" applyFill="1" applyBorder="1" applyAlignment="1">
      <alignment vertical="center"/>
    </xf>
    <xf numFmtId="41" fontId="2" fillId="7" borderId="33" xfId="4" applyFont="1" applyFill="1" applyBorder="1" applyAlignment="1">
      <alignment vertical="center"/>
    </xf>
    <xf numFmtId="164" fontId="2" fillId="4" borderId="33" xfId="0" applyNumberFormat="1" applyFont="1" applyFill="1" applyBorder="1" applyAlignment="1">
      <alignment vertical="center"/>
    </xf>
    <xf numFmtId="9" fontId="2" fillId="4" borderId="20" xfId="2" applyFont="1" applyFill="1" applyBorder="1" applyAlignment="1">
      <alignment vertical="center"/>
    </xf>
    <xf numFmtId="0" fontId="4" fillId="3" borderId="35" xfId="0" applyFont="1" applyFill="1" applyBorder="1" applyAlignment="1">
      <alignment horizontal="left" vertical="center" wrapText="1"/>
    </xf>
    <xf numFmtId="41" fontId="4" fillId="3" borderId="36" xfId="4" applyFont="1" applyFill="1" applyBorder="1" applyAlignment="1">
      <alignment vertical="center"/>
    </xf>
    <xf numFmtId="164" fontId="4" fillId="3" borderId="36" xfId="0" applyNumberFormat="1" applyFont="1" applyFill="1" applyBorder="1" applyAlignment="1">
      <alignment vertical="center"/>
    </xf>
    <xf numFmtId="9" fontId="4" fillId="3" borderId="36" xfId="2" applyFont="1" applyFill="1" applyBorder="1" applyAlignment="1">
      <alignment vertical="center"/>
    </xf>
    <xf numFmtId="0" fontId="4" fillId="3" borderId="25" xfId="0" applyFont="1" applyFill="1" applyBorder="1" applyAlignment="1">
      <alignment horizontal="left" vertical="center" wrapText="1"/>
    </xf>
    <xf numFmtId="41" fontId="4" fillId="3" borderId="37" xfId="4" applyFont="1" applyFill="1" applyBorder="1" applyAlignment="1">
      <alignment vertical="center"/>
    </xf>
    <xf numFmtId="164" fontId="4" fillId="3" borderId="37" xfId="0" applyNumberFormat="1" applyFont="1" applyFill="1" applyBorder="1" applyAlignment="1">
      <alignment vertical="center"/>
    </xf>
    <xf numFmtId="9" fontId="4" fillId="3" borderId="37" xfId="2" applyFont="1" applyFill="1" applyBorder="1" applyAlignment="1">
      <alignment vertical="center"/>
    </xf>
    <xf numFmtId="0" fontId="2" fillId="0" borderId="18" xfId="0" applyFont="1" applyBorder="1" applyAlignment="1">
      <alignment horizontal="left" vertical="center" wrapText="1"/>
    </xf>
    <xf numFmtId="41" fontId="2" fillId="4" borderId="38" xfId="4" applyFont="1" applyFill="1" applyBorder="1" applyAlignment="1">
      <alignment vertical="center"/>
    </xf>
    <xf numFmtId="41" fontId="2" fillId="7" borderId="38" xfId="4" applyFont="1" applyFill="1" applyBorder="1" applyAlignment="1">
      <alignment vertical="center"/>
    </xf>
    <xf numFmtId="164" fontId="2" fillId="4" borderId="38" xfId="0" applyNumberFormat="1" applyFont="1" applyFill="1" applyBorder="1" applyAlignment="1">
      <alignment vertical="center"/>
    </xf>
    <xf numFmtId="164" fontId="2" fillId="4" borderId="20" xfId="0" applyNumberFormat="1" applyFont="1" applyFill="1" applyBorder="1" applyAlignment="1">
      <alignment vertical="center"/>
    </xf>
    <xf numFmtId="164" fontId="2" fillId="7" borderId="38" xfId="0" applyNumberFormat="1" applyFont="1" applyFill="1" applyBorder="1" applyAlignment="1">
      <alignment vertical="center"/>
    </xf>
    <xf numFmtId="0" fontId="4" fillId="3" borderId="13" xfId="0" applyFont="1" applyFill="1" applyBorder="1" applyAlignment="1">
      <alignment horizontal="left" vertical="center" wrapText="1"/>
    </xf>
    <xf numFmtId="41" fontId="4" fillId="3" borderId="3" xfId="4" applyFont="1" applyFill="1" applyBorder="1" applyAlignment="1">
      <alignment vertical="center"/>
    </xf>
    <xf numFmtId="164" fontId="4" fillId="3" borderId="3" xfId="0" applyNumberFormat="1" applyFont="1" applyFill="1" applyBorder="1" applyAlignment="1">
      <alignment vertical="center"/>
    </xf>
    <xf numFmtId="9" fontId="4" fillId="3" borderId="3" xfId="2" applyFont="1" applyFill="1" applyBorder="1" applyAlignment="1">
      <alignment vertical="center"/>
    </xf>
    <xf numFmtId="0" fontId="4" fillId="3" borderId="23" xfId="0" applyFont="1" applyFill="1" applyBorder="1" applyAlignment="1">
      <alignment horizontal="left" vertical="center" wrapText="1"/>
    </xf>
    <xf numFmtId="41" fontId="4" fillId="3" borderId="7" xfId="4" applyFont="1" applyFill="1" applyBorder="1" applyAlignment="1">
      <alignment vertical="center"/>
    </xf>
    <xf numFmtId="9" fontId="4" fillId="3" borderId="7" xfId="2" applyFont="1" applyFill="1" applyBorder="1" applyAlignment="1">
      <alignment vertical="center"/>
    </xf>
    <xf numFmtId="9" fontId="13" fillId="11" borderId="24" xfId="2" applyFont="1" applyFill="1" applyBorder="1" applyAlignment="1">
      <alignment vertical="center"/>
    </xf>
    <xf numFmtId="164" fontId="10" fillId="2" borderId="13" xfId="0" applyNumberFormat="1" applyFont="1" applyFill="1" applyBorder="1" applyAlignment="1">
      <alignment horizontal="center" vertical="center" wrapText="1"/>
    </xf>
    <xf numFmtId="164" fontId="10" fillId="2" borderId="14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164" fontId="4" fillId="2" borderId="8" xfId="0" applyNumberFormat="1" applyFont="1" applyFill="1" applyBorder="1" applyAlignment="1">
      <alignment horizontal="center" vertical="center" wrapText="1"/>
    </xf>
    <xf numFmtId="164" fontId="4" fillId="2" borderId="9" xfId="0" applyNumberFormat="1" applyFont="1" applyFill="1" applyBorder="1" applyAlignment="1">
      <alignment horizontal="center" vertical="center" wrapText="1"/>
    </xf>
    <xf numFmtId="164" fontId="10" fillId="2" borderId="25" xfId="0" applyNumberFormat="1" applyFont="1" applyFill="1" applyBorder="1" applyAlignment="1">
      <alignment horizontal="center" vertical="center" wrapText="1"/>
    </xf>
    <xf numFmtId="164" fontId="10" fillId="2" borderId="26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</cellXfs>
  <cellStyles count="5">
    <cellStyle name="Comma 2" xfId="3" xr:uid="{442A8262-9DC2-4307-9076-6767C71A91DC}"/>
    <cellStyle name="Milliers [0]" xfId="1" builtinId="6"/>
    <cellStyle name="Milliers [0] 2" xfId="4" xr:uid="{7E81B21E-861E-4CA8-92B2-02B0E97657A9}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DD626-24DE-41AE-9EA5-DFB0B5143008}">
  <sheetPr>
    <pageSetUpPr fitToPage="1"/>
  </sheetPr>
  <dimension ref="A1:AM104"/>
  <sheetViews>
    <sheetView tabSelected="1" view="pageBreakPreview" zoomScale="50" zoomScaleNormal="50" zoomScaleSheetLayoutView="50" workbookViewId="0">
      <pane xSplit="8" ySplit="13" topLeftCell="S14" activePane="bottomRight" state="frozen"/>
      <selection pane="topRight" activeCell="I1" sqref="I1"/>
      <selection pane="bottomLeft" activeCell="A14" sqref="A14"/>
      <selection pane="bottomRight" activeCell="AB33" sqref="AB33"/>
    </sheetView>
  </sheetViews>
  <sheetFormatPr baseColWidth="10" defaultColWidth="9.1796875" defaultRowHeight="13" outlineLevelCol="1" x14ac:dyDescent="0.35"/>
  <cols>
    <col min="1" max="1" width="66" style="1" customWidth="1"/>
    <col min="2" max="2" width="13.81640625" style="2" customWidth="1"/>
    <col min="3" max="3" width="13.81640625" style="1" customWidth="1"/>
    <col min="4" max="5" width="13.81640625" style="3" customWidth="1"/>
    <col min="6" max="7" width="17.81640625" style="3" customWidth="1"/>
    <col min="8" max="8" width="19.36328125" style="3" bestFit="1" customWidth="1"/>
    <col min="9" max="9" width="20.90625" style="2" customWidth="1"/>
    <col min="10" max="10" width="20.90625" style="1" customWidth="1"/>
    <col min="11" max="11" width="20.90625" style="3" customWidth="1"/>
    <col min="12" max="12" width="20.90625" style="1" customWidth="1"/>
    <col min="13" max="13" width="20.81640625" style="1" bestFit="1" customWidth="1"/>
    <col min="14" max="14" width="20" style="1" customWidth="1"/>
    <col min="15" max="15" width="24.1796875" style="108" customWidth="1"/>
    <col min="16" max="16" width="20" style="1" customWidth="1"/>
    <col min="17" max="18" width="20.81640625" style="1" bestFit="1" customWidth="1"/>
    <col min="19" max="19" width="18.6328125" style="1" bestFit="1" customWidth="1"/>
    <col min="20" max="20" width="17.90625" style="1" customWidth="1"/>
    <col min="21" max="22" width="17.90625" style="1" hidden="1" customWidth="1" outlineLevel="1"/>
    <col min="23" max="23" width="20" style="1" customWidth="1" collapsed="1"/>
    <col min="24" max="24" width="20" style="1" customWidth="1"/>
    <col min="25" max="25" width="19.81640625" style="1" hidden="1" customWidth="1" outlineLevel="1"/>
    <col min="26" max="26" width="20" style="1" customWidth="1" collapsed="1"/>
    <col min="27" max="27" width="49.26953125" style="1" customWidth="1"/>
    <col min="28" max="30" width="20.1796875" style="1" customWidth="1"/>
    <col min="31" max="36" width="20.1796875" style="1" hidden="1" customWidth="1"/>
    <col min="37" max="37" width="20.1796875" style="1" customWidth="1"/>
    <col min="38" max="38" width="20.1796875" style="1" hidden="1" customWidth="1"/>
    <col min="39" max="39" width="14.7265625" style="6" hidden="1" customWidth="1"/>
    <col min="40" max="16384" width="9.1796875" style="1"/>
  </cols>
  <sheetData>
    <row r="1" spans="1:39" x14ac:dyDescent="0.35">
      <c r="J1" s="5"/>
      <c r="P1" s="1" t="s">
        <v>0</v>
      </c>
    </row>
    <row r="2" spans="1:39" ht="33" customHeight="1" x14ac:dyDescent="0.35">
      <c r="A2" s="29" t="s">
        <v>67</v>
      </c>
      <c r="B2" s="7"/>
      <c r="C2" s="7"/>
      <c r="E2" s="8"/>
      <c r="F2" s="4"/>
      <c r="G2" s="4"/>
      <c r="H2" s="4"/>
      <c r="I2" s="8"/>
      <c r="J2" s="8"/>
      <c r="K2" s="7"/>
      <c r="L2" s="9"/>
      <c r="M2" s="9"/>
      <c r="N2" s="9"/>
      <c r="O2" s="15"/>
      <c r="P2" s="9"/>
      <c r="Q2" s="9"/>
      <c r="R2" s="145" t="s">
        <v>0</v>
      </c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</row>
    <row r="3" spans="1:39" ht="13.5" thickBot="1" x14ac:dyDescent="0.4">
      <c r="A3" s="7"/>
      <c r="B3" s="7"/>
      <c r="C3" s="7"/>
      <c r="E3" s="8"/>
      <c r="F3" s="4"/>
      <c r="G3" s="4"/>
      <c r="H3" s="4"/>
      <c r="K3" s="7"/>
      <c r="O3" s="15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</row>
    <row r="4" spans="1:39" x14ac:dyDescent="0.3">
      <c r="A4" s="10" t="s">
        <v>0</v>
      </c>
      <c r="B4" s="7"/>
      <c r="C4" s="7"/>
      <c r="D4" s="11" t="s">
        <v>1</v>
      </c>
      <c r="E4" s="11">
        <f>1600000+450000</f>
        <v>2050000</v>
      </c>
      <c r="F4" s="11">
        <f>E4*655.957</f>
        <v>1344711850</v>
      </c>
      <c r="G4" s="11"/>
      <c r="H4" s="12">
        <v>1</v>
      </c>
      <c r="I4" s="13" t="s">
        <v>2</v>
      </c>
      <c r="J4" s="14">
        <f>1600000/E4</f>
        <v>0.78048780487804881</v>
      </c>
      <c r="K4" s="7"/>
      <c r="L4" s="9"/>
      <c r="M4" s="9"/>
      <c r="N4" s="9"/>
      <c r="O4" s="15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</row>
    <row r="5" spans="1:39" x14ac:dyDescent="0.35">
      <c r="A5" s="7"/>
      <c r="B5" s="7"/>
      <c r="C5" s="7"/>
      <c r="D5" s="11" t="s">
        <v>3</v>
      </c>
      <c r="E5" s="11">
        <f>E51</f>
        <v>4000</v>
      </c>
      <c r="F5" s="11">
        <f>F51</f>
        <v>2623828</v>
      </c>
      <c r="G5" s="11"/>
      <c r="H5" s="12">
        <f>+E5/E4</f>
        <v>1.9512195121951219E-3</v>
      </c>
      <c r="I5" s="16" t="s">
        <v>4</v>
      </c>
      <c r="J5" s="17">
        <f>450000/E4</f>
        <v>0.21951219512195122</v>
      </c>
      <c r="K5" s="8"/>
      <c r="O5" s="15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</row>
    <row r="6" spans="1:39" ht="13.5" thickBot="1" x14ac:dyDescent="0.4">
      <c r="A6" s="7"/>
      <c r="B6" s="7"/>
      <c r="C6" s="7"/>
      <c r="D6" s="11" t="s">
        <v>5</v>
      </c>
      <c r="E6" s="11">
        <f>F6/655.957</f>
        <v>685365</v>
      </c>
      <c r="F6" s="11">
        <f>F45</f>
        <v>449569969.30500001</v>
      </c>
      <c r="G6" s="11"/>
      <c r="H6" s="12">
        <f>+E6/E4</f>
        <v>0.33432439024390243</v>
      </c>
      <c r="I6" s="18" t="s">
        <v>6</v>
      </c>
      <c r="J6" s="19">
        <f>SUM(J4:J5)</f>
        <v>1</v>
      </c>
      <c r="K6" s="8"/>
      <c r="L6" s="9"/>
      <c r="M6" s="9"/>
      <c r="N6" s="9"/>
      <c r="O6" s="15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</row>
    <row r="7" spans="1:39" x14ac:dyDescent="0.35">
      <c r="A7" s="7"/>
      <c r="B7" s="4" t="s">
        <v>0</v>
      </c>
      <c r="C7" s="7"/>
      <c r="D7" s="11" t="s">
        <v>7</v>
      </c>
      <c r="E7" s="11">
        <f>E55</f>
        <v>20000</v>
      </c>
      <c r="F7" s="11">
        <f>F55</f>
        <v>13119140</v>
      </c>
      <c r="G7" s="11"/>
      <c r="H7" s="36">
        <f>E7/E54</f>
        <v>1.25</v>
      </c>
      <c r="J7" s="8"/>
      <c r="K7" s="20"/>
      <c r="O7" s="15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</row>
    <row r="8" spans="1:39" x14ac:dyDescent="0.35">
      <c r="A8" s="7"/>
      <c r="B8" s="7"/>
      <c r="C8" s="7"/>
      <c r="D8" s="11"/>
      <c r="E8" s="21"/>
      <c r="F8" s="22" t="s">
        <v>8</v>
      </c>
      <c r="G8" s="22"/>
      <c r="H8" s="30">
        <v>8.2173741318337198E-2</v>
      </c>
      <c r="I8" s="2" t="s">
        <v>0</v>
      </c>
      <c r="J8" s="8"/>
      <c r="K8" s="7"/>
      <c r="L8" s="9"/>
      <c r="M8" s="9"/>
      <c r="N8" s="9"/>
      <c r="O8" s="15"/>
      <c r="P8" s="9"/>
      <c r="Q8" s="9" t="s">
        <v>0</v>
      </c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</row>
    <row r="9" spans="1:39" x14ac:dyDescent="0.35">
      <c r="A9" s="7"/>
      <c r="B9" s="4"/>
      <c r="C9" s="7"/>
      <c r="E9" s="8"/>
      <c r="F9" s="4"/>
      <c r="G9" s="4"/>
      <c r="H9" s="147">
        <v>655.95699999999999</v>
      </c>
      <c r="I9" s="8"/>
      <c r="J9" s="8"/>
      <c r="K9" s="7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</row>
    <row r="10" spans="1:39" ht="13.5" thickBot="1" x14ac:dyDescent="0.4"/>
    <row r="11" spans="1:39" s="116" customFormat="1" ht="41.5" customHeight="1" x14ac:dyDescent="0.35">
      <c r="A11" s="144" t="s">
        <v>9</v>
      </c>
      <c r="B11" s="205" t="s">
        <v>10</v>
      </c>
      <c r="C11" s="206"/>
      <c r="D11" s="206"/>
      <c r="E11" s="206"/>
      <c r="F11" s="207"/>
      <c r="G11" s="203" t="s">
        <v>68</v>
      </c>
      <c r="H11" s="204"/>
      <c r="I11" s="199" t="s">
        <v>131</v>
      </c>
      <c r="J11" s="200"/>
      <c r="K11" s="199" t="s">
        <v>130</v>
      </c>
      <c r="L11" s="200"/>
      <c r="M11" s="199" t="s">
        <v>70</v>
      </c>
      <c r="N11" s="200"/>
      <c r="O11" s="199" t="s">
        <v>72</v>
      </c>
      <c r="P11" s="200"/>
      <c r="Q11" s="199" t="s">
        <v>69</v>
      </c>
      <c r="R11" s="200"/>
      <c r="S11" s="199" t="s">
        <v>71</v>
      </c>
      <c r="T11" s="200"/>
      <c r="U11" s="199" t="s">
        <v>73</v>
      </c>
      <c r="V11" s="200"/>
      <c r="W11" s="199" t="s">
        <v>132</v>
      </c>
      <c r="X11" s="200"/>
      <c r="Y11" s="208" t="s">
        <v>74</v>
      </c>
      <c r="Z11" s="208" t="s">
        <v>75</v>
      </c>
      <c r="AA11" s="201" t="s">
        <v>11</v>
      </c>
    </row>
    <row r="12" spans="1:39" ht="58" customHeight="1" thickBot="1" x14ac:dyDescent="0.4">
      <c r="A12" s="117" t="s">
        <v>12</v>
      </c>
      <c r="B12" s="123" t="s">
        <v>13</v>
      </c>
      <c r="C12" s="23" t="s">
        <v>14</v>
      </c>
      <c r="D12" s="24" t="s">
        <v>15</v>
      </c>
      <c r="E12" s="24" t="s">
        <v>16</v>
      </c>
      <c r="F12" s="47" t="s">
        <v>17</v>
      </c>
      <c r="G12" s="46" t="s">
        <v>19</v>
      </c>
      <c r="H12" s="47" t="s">
        <v>66</v>
      </c>
      <c r="I12" s="46" t="s">
        <v>19</v>
      </c>
      <c r="J12" s="47" t="s">
        <v>20</v>
      </c>
      <c r="K12" s="46" t="s">
        <v>19</v>
      </c>
      <c r="L12" s="47" t="s">
        <v>20</v>
      </c>
      <c r="M12" s="46" t="s">
        <v>19</v>
      </c>
      <c r="N12" s="47" t="s">
        <v>20</v>
      </c>
      <c r="O12" s="109" t="s">
        <v>19</v>
      </c>
      <c r="P12" s="47" t="s">
        <v>20</v>
      </c>
      <c r="Q12" s="46" t="s">
        <v>19</v>
      </c>
      <c r="R12" s="47" t="s">
        <v>20</v>
      </c>
      <c r="S12" s="46" t="s">
        <v>19</v>
      </c>
      <c r="T12" s="47" t="s">
        <v>20</v>
      </c>
      <c r="U12" s="46" t="s">
        <v>19</v>
      </c>
      <c r="V12" s="47" t="s">
        <v>20</v>
      </c>
      <c r="W12" s="46" t="s">
        <v>19</v>
      </c>
      <c r="X12" s="47" t="s">
        <v>20</v>
      </c>
      <c r="Y12" s="209"/>
      <c r="Z12" s="209"/>
      <c r="AA12" s="202"/>
      <c r="AM12" s="1"/>
    </row>
    <row r="13" spans="1:39" ht="15" customHeight="1" x14ac:dyDescent="0.35">
      <c r="A13" s="118" t="s">
        <v>18</v>
      </c>
      <c r="B13" s="124"/>
      <c r="C13" s="91"/>
      <c r="D13" s="92"/>
      <c r="E13" s="93"/>
      <c r="F13" s="95"/>
      <c r="G13" s="94"/>
      <c r="H13" s="95"/>
      <c r="I13" s="48"/>
      <c r="J13" s="32"/>
      <c r="K13" s="48"/>
      <c r="L13" s="32"/>
      <c r="M13" s="48"/>
      <c r="N13" s="32"/>
      <c r="O13" s="110"/>
      <c r="P13" s="32"/>
      <c r="Q13" s="71"/>
      <c r="R13" s="72"/>
      <c r="S13" s="77"/>
      <c r="T13" s="78"/>
      <c r="U13" s="48"/>
      <c r="V13" s="32"/>
      <c r="W13" s="48"/>
      <c r="X13" s="32"/>
      <c r="Y13" s="83"/>
      <c r="Z13" s="83"/>
      <c r="AA13" s="83"/>
      <c r="AM13" s="1"/>
    </row>
    <row r="14" spans="1:39" ht="15" customHeight="1" x14ac:dyDescent="0.35">
      <c r="A14" s="119" t="s">
        <v>21</v>
      </c>
      <c r="B14" s="124"/>
      <c r="C14" s="91"/>
      <c r="D14" s="92"/>
      <c r="E14" s="93"/>
      <c r="F14" s="95"/>
      <c r="G14" s="94"/>
      <c r="H14" s="95"/>
      <c r="I14" s="48"/>
      <c r="J14" s="32"/>
      <c r="K14" s="48"/>
      <c r="L14" s="32"/>
      <c r="M14" s="48"/>
      <c r="N14" s="32"/>
      <c r="O14" s="110"/>
      <c r="P14" s="32"/>
      <c r="Q14" s="71"/>
      <c r="R14" s="72"/>
      <c r="S14" s="77"/>
      <c r="T14" s="78"/>
      <c r="U14" s="48"/>
      <c r="V14" s="32"/>
      <c r="W14" s="48"/>
      <c r="X14" s="32"/>
      <c r="Y14" s="84"/>
      <c r="Z14" s="84"/>
      <c r="AA14" s="84"/>
      <c r="AM14" s="1"/>
    </row>
    <row r="15" spans="1:39" ht="15" customHeight="1" x14ac:dyDescent="0.35">
      <c r="A15" s="120" t="s">
        <v>22</v>
      </c>
      <c r="B15" s="125" t="s">
        <v>23</v>
      </c>
      <c r="C15" s="97">
        <v>48</v>
      </c>
      <c r="D15" s="92">
        <f>2900*0.3</f>
        <v>870</v>
      </c>
      <c r="E15" s="92">
        <f t="shared" ref="E15:E25" si="0">C15*D15</f>
        <v>41760</v>
      </c>
      <c r="F15" s="99">
        <f t="shared" ref="F15:F26" si="1">+E15*655.957</f>
        <v>27392764.32</v>
      </c>
      <c r="G15" s="98">
        <f t="shared" ref="G15:G25" si="2">+H15*655.957</f>
        <v>27392764.32</v>
      </c>
      <c r="H15" s="99">
        <f>E15</f>
        <v>41760</v>
      </c>
      <c r="I15" s="61">
        <v>5136143</v>
      </c>
      <c r="J15" s="33">
        <f t="shared" ref="J15:J25" si="3">+I15/655.957</f>
        <v>7829.9995274080466</v>
      </c>
      <c r="K15" s="62">
        <v>6628446</v>
      </c>
      <c r="L15" s="63">
        <f t="shared" ref="L15:L25" si="4">+K15/655.957</f>
        <v>10105.000785112439</v>
      </c>
      <c r="M15" s="69">
        <f t="shared" ref="M15:M25" si="5">I15+K15</f>
        <v>11764589</v>
      </c>
      <c r="N15" s="70">
        <f t="shared" ref="N15:N25" si="6">+J15+L15</f>
        <v>17935.000312520486</v>
      </c>
      <c r="O15" s="110">
        <v>6848191.0800000001</v>
      </c>
      <c r="P15" s="32">
        <f>O15/655.957</f>
        <v>10440</v>
      </c>
      <c r="Q15" s="148">
        <v>6848196</v>
      </c>
      <c r="R15" s="146">
        <f t="shared" ref="R15:R22" si="7">+Q15/655.957</f>
        <v>10440.007500491649</v>
      </c>
      <c r="S15" s="77">
        <f t="shared" ref="S15:S25" si="8">+M15+Q15</f>
        <v>18612785</v>
      </c>
      <c r="T15" s="78">
        <f>+S15/655.957</f>
        <v>28375.007813012133</v>
      </c>
      <c r="U15" s="79">
        <f>O15-Q15</f>
        <v>-4.9199999999254942</v>
      </c>
      <c r="V15" s="42">
        <f>U15/655.957</f>
        <v>-7.5004916479670071E-3</v>
      </c>
      <c r="W15" s="49">
        <f t="shared" ref="W15:W25" si="9">+G15-S15</f>
        <v>8779979.3200000003</v>
      </c>
      <c r="X15" s="33">
        <f>W15/655.957</f>
        <v>13384.992186987867</v>
      </c>
      <c r="Y15" s="85">
        <f>+Q15/O15</f>
        <v>1.0000007184378974</v>
      </c>
      <c r="Z15" s="85">
        <f t="shared" ref="Z15:Z25" si="10">+S15/G15</f>
        <v>0.67947815644186138</v>
      </c>
      <c r="AA15" s="88"/>
      <c r="AM15" s="1"/>
    </row>
    <row r="16" spans="1:39" ht="15" customHeight="1" x14ac:dyDescent="0.35">
      <c r="A16" s="120" t="s">
        <v>24</v>
      </c>
      <c r="B16" s="125" t="s">
        <v>23</v>
      </c>
      <c r="C16" s="100">
        <v>48</v>
      </c>
      <c r="D16" s="92">
        <f>2650*0.5</f>
        <v>1325</v>
      </c>
      <c r="E16" s="92">
        <f t="shared" si="0"/>
        <v>63600</v>
      </c>
      <c r="F16" s="99">
        <f t="shared" si="1"/>
        <v>41718865.200000003</v>
      </c>
      <c r="G16" s="98">
        <f t="shared" si="2"/>
        <v>41718865.200000003</v>
      </c>
      <c r="H16" s="99">
        <f>E16</f>
        <v>63600</v>
      </c>
      <c r="I16" s="61">
        <v>7743783</v>
      </c>
      <c r="J16" s="33">
        <f t="shared" si="3"/>
        <v>11805.321080497655</v>
      </c>
      <c r="K16" s="62">
        <v>10429716</v>
      </c>
      <c r="L16" s="63">
        <f t="shared" si="4"/>
        <v>15899.999542652948</v>
      </c>
      <c r="M16" s="69">
        <f t="shared" si="5"/>
        <v>18173499</v>
      </c>
      <c r="N16" s="70">
        <f t="shared" si="6"/>
        <v>27705.320623150605</v>
      </c>
      <c r="O16" s="110">
        <v>10429716.300000001</v>
      </c>
      <c r="P16" s="32">
        <f t="shared" ref="P16:P25" si="11">O16/655.957</f>
        <v>15900.000000000002</v>
      </c>
      <c r="Q16" s="71">
        <v>10429716.300000001</v>
      </c>
      <c r="R16" s="146">
        <f t="shared" si="7"/>
        <v>15900.000000000002</v>
      </c>
      <c r="S16" s="77">
        <f t="shared" si="8"/>
        <v>28603215.300000001</v>
      </c>
      <c r="T16" s="78">
        <f t="shared" ref="T16:T25" si="12">+S16/655.957</f>
        <v>43605.320623150605</v>
      </c>
      <c r="U16" s="79">
        <f t="shared" ref="U16:U25" si="13">O16-Q16</f>
        <v>0</v>
      </c>
      <c r="V16" s="42">
        <f t="shared" ref="V16:V25" si="14">U16/655.957</f>
        <v>0</v>
      </c>
      <c r="W16" s="49">
        <f t="shared" si="9"/>
        <v>13115649.900000002</v>
      </c>
      <c r="X16" s="33">
        <f t="shared" ref="X16:X25" si="15">W16/655.957</f>
        <v>19994.679376849399</v>
      </c>
      <c r="Y16" s="85">
        <f t="shared" ref="Y16:Y25" si="16">+Q16/O16</f>
        <v>1</v>
      </c>
      <c r="Z16" s="85">
        <f t="shared" si="10"/>
        <v>0.6856182487916761</v>
      </c>
      <c r="AA16" s="88"/>
      <c r="AM16" s="1"/>
    </row>
    <row r="17" spans="1:39" ht="15" customHeight="1" x14ac:dyDescent="0.35">
      <c r="A17" s="120" t="s">
        <v>25</v>
      </c>
      <c r="B17" s="125" t="s">
        <v>23</v>
      </c>
      <c r="C17" s="100">
        <v>48</v>
      </c>
      <c r="D17" s="92">
        <v>2200</v>
      </c>
      <c r="E17" s="92">
        <f t="shared" si="0"/>
        <v>105600</v>
      </c>
      <c r="F17" s="99">
        <f t="shared" si="1"/>
        <v>69269059.200000003</v>
      </c>
      <c r="G17" s="98">
        <f t="shared" si="2"/>
        <v>34634529.600000001</v>
      </c>
      <c r="H17" s="99">
        <v>52800</v>
      </c>
      <c r="I17" s="61">
        <v>8380800</v>
      </c>
      <c r="J17" s="33">
        <f t="shared" si="3"/>
        <v>12776.44723663289</v>
      </c>
      <c r="K17" s="62">
        <v>16761600</v>
      </c>
      <c r="L17" s="63">
        <f t="shared" si="4"/>
        <v>25552.89447326578</v>
      </c>
      <c r="M17" s="69">
        <f t="shared" si="5"/>
        <v>25142400</v>
      </c>
      <c r="N17" s="70">
        <f t="shared" si="6"/>
        <v>38329.341709898668</v>
      </c>
      <c r="O17" s="110">
        <v>17317264.800000001</v>
      </c>
      <c r="P17" s="32">
        <f t="shared" si="11"/>
        <v>26400</v>
      </c>
      <c r="Q17" s="71">
        <v>16761600</v>
      </c>
      <c r="R17" s="146">
        <f t="shared" si="7"/>
        <v>25552.89447326578</v>
      </c>
      <c r="S17" s="77">
        <f t="shared" si="8"/>
        <v>41904000</v>
      </c>
      <c r="T17" s="78">
        <f t="shared" si="12"/>
        <v>63882.236183164445</v>
      </c>
      <c r="U17" s="79">
        <f t="shared" si="13"/>
        <v>555664.80000000075</v>
      </c>
      <c r="V17" s="42">
        <f t="shared" si="14"/>
        <v>847.10552673422308</v>
      </c>
      <c r="W17" s="49">
        <f t="shared" si="9"/>
        <v>-7269470.3999999985</v>
      </c>
      <c r="X17" s="33">
        <f t="shared" si="15"/>
        <v>-11082.236183164443</v>
      </c>
      <c r="Y17" s="85">
        <f t="shared" si="16"/>
        <v>0.96791266944188548</v>
      </c>
      <c r="Z17" s="85">
        <f t="shared" si="10"/>
        <v>1.2098908368023569</v>
      </c>
      <c r="AA17" s="88"/>
      <c r="AM17" s="1"/>
    </row>
    <row r="18" spans="1:39" ht="15" customHeight="1" x14ac:dyDescent="0.35">
      <c r="A18" s="120" t="s">
        <v>26</v>
      </c>
      <c r="B18" s="125" t="s">
        <v>23</v>
      </c>
      <c r="C18" s="100">
        <v>48</v>
      </c>
      <c r="D18" s="92">
        <v>900</v>
      </c>
      <c r="E18" s="92">
        <f t="shared" si="0"/>
        <v>43200</v>
      </c>
      <c r="F18" s="99">
        <f t="shared" si="1"/>
        <v>28337342.399999999</v>
      </c>
      <c r="G18" s="98">
        <f t="shared" si="2"/>
        <v>14168671.199999999</v>
      </c>
      <c r="H18" s="99">
        <v>21600</v>
      </c>
      <c r="I18" s="61">
        <v>3651674</v>
      </c>
      <c r="J18" s="33">
        <f t="shared" si="3"/>
        <v>5566.9411257140328</v>
      </c>
      <c r="K18" s="62">
        <v>4131018</v>
      </c>
      <c r="L18" s="63">
        <f t="shared" si="4"/>
        <v>6297.6963429005255</v>
      </c>
      <c r="M18" s="69">
        <f t="shared" si="5"/>
        <v>7782692</v>
      </c>
      <c r="N18" s="70">
        <f t="shared" si="6"/>
        <v>11864.637468614557</v>
      </c>
      <c r="O18" s="110">
        <v>7084335.5999999996</v>
      </c>
      <c r="P18" s="32">
        <f t="shared" si="11"/>
        <v>10800</v>
      </c>
      <c r="Q18" s="71">
        <v>5900000</v>
      </c>
      <c r="R18" s="146">
        <f t="shared" si="7"/>
        <v>8994.4920170072128</v>
      </c>
      <c r="S18" s="77">
        <f t="shared" si="8"/>
        <v>13682692</v>
      </c>
      <c r="T18" s="78">
        <f t="shared" si="12"/>
        <v>20859.129485621772</v>
      </c>
      <c r="U18" s="79">
        <f t="shared" si="13"/>
        <v>1184335.5999999996</v>
      </c>
      <c r="V18" s="42">
        <f t="shared" si="14"/>
        <v>1805.507982992787</v>
      </c>
      <c r="W18" s="49">
        <f t="shared" si="9"/>
        <v>485979.19999999925</v>
      </c>
      <c r="X18" s="33">
        <f t="shared" si="15"/>
        <v>740.87051437822788</v>
      </c>
      <c r="Y18" s="85">
        <f t="shared" si="16"/>
        <v>0.83282333490807525</v>
      </c>
      <c r="Z18" s="85">
        <f t="shared" si="10"/>
        <v>0.96570043914915615</v>
      </c>
      <c r="AA18" s="88"/>
      <c r="AM18" s="1"/>
    </row>
    <row r="19" spans="1:39" ht="15" customHeight="1" x14ac:dyDescent="0.35">
      <c r="A19" s="120" t="s">
        <v>27</v>
      </c>
      <c r="B19" s="125" t="s">
        <v>23</v>
      </c>
      <c r="C19" s="100">
        <v>48</v>
      </c>
      <c r="D19" s="92">
        <v>600</v>
      </c>
      <c r="E19" s="92">
        <f t="shared" si="0"/>
        <v>28800</v>
      </c>
      <c r="F19" s="99">
        <f t="shared" si="1"/>
        <v>18891561.600000001</v>
      </c>
      <c r="G19" s="98">
        <f t="shared" si="2"/>
        <v>18891561.600000001</v>
      </c>
      <c r="H19" s="99">
        <f>E19</f>
        <v>28800</v>
      </c>
      <c r="I19" s="61">
        <v>2360592</v>
      </c>
      <c r="J19" s="33">
        <f t="shared" si="3"/>
        <v>3598.6993049849302</v>
      </c>
      <c r="K19" s="62">
        <v>2360610</v>
      </c>
      <c r="L19" s="63">
        <f t="shared" si="4"/>
        <v>3598.7267458080332</v>
      </c>
      <c r="M19" s="69">
        <f t="shared" si="5"/>
        <v>4721202</v>
      </c>
      <c r="N19" s="70">
        <f t="shared" si="6"/>
        <v>7197.426050792963</v>
      </c>
      <c r="O19" s="110">
        <v>4722890.4000000004</v>
      </c>
      <c r="P19" s="32">
        <f t="shared" si="11"/>
        <v>7200.0000000000009</v>
      </c>
      <c r="Q19" s="71">
        <v>4721184</v>
      </c>
      <c r="R19" s="146">
        <f t="shared" si="7"/>
        <v>7197.3986099698604</v>
      </c>
      <c r="S19" s="77">
        <f t="shared" si="8"/>
        <v>9442386</v>
      </c>
      <c r="T19" s="78">
        <f t="shared" si="12"/>
        <v>14394.824660762824</v>
      </c>
      <c r="U19" s="79">
        <f t="shared" si="13"/>
        <v>1706.4000000003725</v>
      </c>
      <c r="V19" s="42">
        <f t="shared" si="14"/>
        <v>2.6013900301397386</v>
      </c>
      <c r="W19" s="49">
        <f t="shared" si="9"/>
        <v>9449175.6000000015</v>
      </c>
      <c r="X19" s="33">
        <f t="shared" si="15"/>
        <v>14405.175339237177</v>
      </c>
      <c r="Y19" s="85">
        <f t="shared" si="16"/>
        <v>0.99963869582914722</v>
      </c>
      <c r="Z19" s="85">
        <f t="shared" si="10"/>
        <v>0.49982030072093137</v>
      </c>
      <c r="AA19" s="88"/>
      <c r="AM19" s="1"/>
    </row>
    <row r="20" spans="1:39" ht="15" customHeight="1" x14ac:dyDescent="0.35">
      <c r="A20" s="120" t="s">
        <v>28</v>
      </c>
      <c r="B20" s="125" t="s">
        <v>23</v>
      </c>
      <c r="C20" s="100">
        <v>48</v>
      </c>
      <c r="D20" s="92">
        <f>2200*0.5</f>
        <v>1100</v>
      </c>
      <c r="E20" s="92">
        <f t="shared" si="0"/>
        <v>52800</v>
      </c>
      <c r="F20" s="99">
        <f t="shared" si="1"/>
        <v>34634529.600000001</v>
      </c>
      <c r="G20" s="98">
        <f t="shared" si="2"/>
        <v>34634529.600000001</v>
      </c>
      <c r="H20" s="99">
        <f>E20</f>
        <v>52800</v>
      </c>
      <c r="I20" s="61">
        <v>6429020</v>
      </c>
      <c r="J20" s="33">
        <f t="shared" si="3"/>
        <v>9800.9778079965618</v>
      </c>
      <c r="K20" s="62">
        <v>8658600</v>
      </c>
      <c r="L20" s="63">
        <f t="shared" si="4"/>
        <v>13199.950606518416</v>
      </c>
      <c r="M20" s="69">
        <f t="shared" si="5"/>
        <v>15087620</v>
      </c>
      <c r="N20" s="70">
        <f t="shared" si="6"/>
        <v>23000.92841451498</v>
      </c>
      <c r="O20" s="110">
        <v>8658632.4000000004</v>
      </c>
      <c r="P20" s="32">
        <f t="shared" si="11"/>
        <v>13200</v>
      </c>
      <c r="Q20" s="71">
        <v>8658606</v>
      </c>
      <c r="R20" s="146">
        <f t="shared" si="7"/>
        <v>13199.959753459449</v>
      </c>
      <c r="S20" s="77">
        <f t="shared" si="8"/>
        <v>23746226</v>
      </c>
      <c r="T20" s="78">
        <f t="shared" si="12"/>
        <v>36200.888167974423</v>
      </c>
      <c r="U20" s="79">
        <f t="shared" si="13"/>
        <v>26.400000000372529</v>
      </c>
      <c r="V20" s="42">
        <f t="shared" si="14"/>
        <v>4.0246540551244256E-2</v>
      </c>
      <c r="W20" s="49">
        <f t="shared" si="9"/>
        <v>10888303.600000001</v>
      </c>
      <c r="X20" s="33">
        <f t="shared" si="15"/>
        <v>16599.111832025577</v>
      </c>
      <c r="Y20" s="85">
        <f t="shared" si="16"/>
        <v>0.99999695101965524</v>
      </c>
      <c r="Z20" s="85">
        <f t="shared" si="10"/>
        <v>0.68562288196921262</v>
      </c>
      <c r="AA20" s="88"/>
      <c r="AM20" s="1"/>
    </row>
    <row r="21" spans="1:39" ht="15" customHeight="1" x14ac:dyDescent="0.35">
      <c r="A21" s="120" t="s">
        <v>29</v>
      </c>
      <c r="B21" s="125" t="s">
        <v>23</v>
      </c>
      <c r="C21" s="100">
        <v>48</v>
      </c>
      <c r="D21" s="92">
        <v>350</v>
      </c>
      <c r="E21" s="92">
        <f t="shared" si="0"/>
        <v>16800</v>
      </c>
      <c r="F21" s="99">
        <f t="shared" si="1"/>
        <v>11020077.6</v>
      </c>
      <c r="G21" s="98">
        <f t="shared" si="2"/>
        <v>11020077.6</v>
      </c>
      <c r="H21" s="99">
        <f>E21</f>
        <v>16800</v>
      </c>
      <c r="I21" s="61">
        <v>918000</v>
      </c>
      <c r="J21" s="33">
        <f t="shared" si="3"/>
        <v>1399.4819782394272</v>
      </c>
      <c r="K21" s="62">
        <v>2095200</v>
      </c>
      <c r="L21" s="63">
        <f t="shared" si="4"/>
        <v>3194.1118091582225</v>
      </c>
      <c r="M21" s="69">
        <f t="shared" si="5"/>
        <v>3013200</v>
      </c>
      <c r="N21" s="70">
        <f t="shared" si="6"/>
        <v>4593.59378739765</v>
      </c>
      <c r="O21" s="110">
        <v>2755019.4</v>
      </c>
      <c r="P21" s="32">
        <f t="shared" si="11"/>
        <v>4200</v>
      </c>
      <c r="Q21" s="71">
        <v>2095200</v>
      </c>
      <c r="R21" s="146">
        <f t="shared" si="7"/>
        <v>3194.1118091582225</v>
      </c>
      <c r="S21" s="77">
        <f t="shared" si="8"/>
        <v>5108400</v>
      </c>
      <c r="T21" s="78">
        <f t="shared" si="12"/>
        <v>7787.705596555872</v>
      </c>
      <c r="U21" s="79">
        <f t="shared" si="13"/>
        <v>659819.39999999991</v>
      </c>
      <c r="V21" s="42">
        <f t="shared" si="14"/>
        <v>1005.8881908417776</v>
      </c>
      <c r="W21" s="49">
        <f t="shared" si="9"/>
        <v>5911677.5999999996</v>
      </c>
      <c r="X21" s="33">
        <f t="shared" si="15"/>
        <v>9012.294403444128</v>
      </c>
      <c r="Y21" s="85">
        <f t="shared" si="16"/>
        <v>0.76050281170433864</v>
      </c>
      <c r="Z21" s="85">
        <f t="shared" si="10"/>
        <v>0.46355390455689716</v>
      </c>
      <c r="AA21" s="88"/>
      <c r="AM21" s="1"/>
    </row>
    <row r="22" spans="1:39" ht="15" customHeight="1" x14ac:dyDescent="0.35">
      <c r="A22" s="120" t="s">
        <v>30</v>
      </c>
      <c r="B22" s="125" t="s">
        <v>23</v>
      </c>
      <c r="C22" s="100">
        <v>48</v>
      </c>
      <c r="D22" s="92">
        <v>310</v>
      </c>
      <c r="E22" s="92">
        <f t="shared" si="0"/>
        <v>14880</v>
      </c>
      <c r="F22" s="99">
        <f t="shared" si="1"/>
        <v>9760640.1600000001</v>
      </c>
      <c r="G22" s="98">
        <f t="shared" si="2"/>
        <v>4880320.08</v>
      </c>
      <c r="H22" s="99">
        <v>7440</v>
      </c>
      <c r="I22" s="61">
        <v>818430</v>
      </c>
      <c r="J22" s="33">
        <f t="shared" si="3"/>
        <v>1247.6884917761379</v>
      </c>
      <c r="K22" s="62">
        <v>1809630</v>
      </c>
      <c r="L22" s="63">
        <f t="shared" si="4"/>
        <v>2758.7631506333496</v>
      </c>
      <c r="M22" s="69">
        <f t="shared" si="5"/>
        <v>2628060</v>
      </c>
      <c r="N22" s="70">
        <f t="shared" si="6"/>
        <v>4006.4516424094872</v>
      </c>
      <c r="O22" s="110">
        <v>2440160.04</v>
      </c>
      <c r="P22" s="32">
        <f t="shared" si="11"/>
        <v>3720</v>
      </c>
      <c r="Q22" s="71">
        <v>1982400</v>
      </c>
      <c r="R22" s="146">
        <f t="shared" si="7"/>
        <v>3022.1493177144234</v>
      </c>
      <c r="S22" s="77">
        <f t="shared" si="8"/>
        <v>4610460</v>
      </c>
      <c r="T22" s="78">
        <f t="shared" si="12"/>
        <v>7028.6009601239102</v>
      </c>
      <c r="U22" s="79">
        <f t="shared" si="13"/>
        <v>457760.04000000004</v>
      </c>
      <c r="V22" s="42">
        <f t="shared" si="14"/>
        <v>697.85068228557668</v>
      </c>
      <c r="W22" s="49">
        <f t="shared" si="9"/>
        <v>269860.08000000007</v>
      </c>
      <c r="X22" s="33">
        <f t="shared" si="15"/>
        <v>411.39903987608955</v>
      </c>
      <c r="Y22" s="85">
        <f t="shared" si="16"/>
        <v>0.81240573056839338</v>
      </c>
      <c r="Z22" s="85">
        <f t="shared" si="10"/>
        <v>0.94470443012418148</v>
      </c>
      <c r="AA22" s="88"/>
      <c r="AM22" s="1"/>
    </row>
    <row r="23" spans="1:39" ht="15" customHeight="1" x14ac:dyDescent="0.35">
      <c r="A23" s="120" t="s">
        <v>31</v>
      </c>
      <c r="B23" s="125" t="s">
        <v>32</v>
      </c>
      <c r="C23" s="100">
        <f>2*12*4</f>
        <v>96</v>
      </c>
      <c r="D23" s="92">
        <f>8*60</f>
        <v>480</v>
      </c>
      <c r="E23" s="92">
        <f t="shared" si="0"/>
        <v>46080</v>
      </c>
      <c r="F23" s="99">
        <f t="shared" si="1"/>
        <v>30226498.559999999</v>
      </c>
      <c r="G23" s="98">
        <f t="shared" si="2"/>
        <v>30226498.559999999</v>
      </c>
      <c r="H23" s="99">
        <f>E23</f>
        <v>46080</v>
      </c>
      <c r="I23" s="61">
        <v>1626773</v>
      </c>
      <c r="J23" s="33">
        <f t="shared" si="3"/>
        <v>2479.999451183538</v>
      </c>
      <c r="K23" s="62">
        <v>7438552.3799999999</v>
      </c>
      <c r="L23" s="63">
        <f t="shared" si="4"/>
        <v>11340</v>
      </c>
      <c r="M23" s="69">
        <f t="shared" si="5"/>
        <v>9065325.379999999</v>
      </c>
      <c r="N23" s="70">
        <f t="shared" si="6"/>
        <v>13819.999451183538</v>
      </c>
      <c r="O23" s="110">
        <v>7556624.6399999997</v>
      </c>
      <c r="P23" s="32">
        <f t="shared" si="11"/>
        <v>11520</v>
      </c>
      <c r="Q23" s="71">
        <v>10429716.300000001</v>
      </c>
      <c r="R23" s="146">
        <v>15900</v>
      </c>
      <c r="S23" s="77">
        <f t="shared" si="8"/>
        <v>19495041.68</v>
      </c>
      <c r="T23" s="78">
        <f t="shared" si="12"/>
        <v>29719.999451183539</v>
      </c>
      <c r="U23" s="79">
        <f t="shared" si="13"/>
        <v>-2873091.6600000011</v>
      </c>
      <c r="V23" s="42">
        <f t="shared" si="14"/>
        <v>-4380.0000000000018</v>
      </c>
      <c r="W23" s="49">
        <f t="shared" si="9"/>
        <v>10731456.879999999</v>
      </c>
      <c r="X23" s="33">
        <f t="shared" si="15"/>
        <v>16360.000548816461</v>
      </c>
      <c r="Y23" s="85">
        <f t="shared" si="16"/>
        <v>1.3802083333333335</v>
      </c>
      <c r="Z23" s="85">
        <f t="shared" si="10"/>
        <v>0.64496526586769831</v>
      </c>
      <c r="AA23" s="88"/>
      <c r="AM23" s="1"/>
    </row>
    <row r="24" spans="1:39" x14ac:dyDescent="0.35">
      <c r="A24" s="120" t="s">
        <v>33</v>
      </c>
      <c r="B24" s="125" t="s">
        <v>32</v>
      </c>
      <c r="C24" s="100">
        <f>2.5*12*4</f>
        <v>120</v>
      </c>
      <c r="D24" s="92">
        <f>8*62</f>
        <v>496</v>
      </c>
      <c r="E24" s="92">
        <f t="shared" si="0"/>
        <v>59520</v>
      </c>
      <c r="F24" s="99">
        <f t="shared" si="1"/>
        <v>39042560.640000001</v>
      </c>
      <c r="G24" s="98">
        <f t="shared" si="2"/>
        <v>39042560.640000001</v>
      </c>
      <c r="H24" s="99">
        <f>E24</f>
        <v>59520</v>
      </c>
      <c r="I24" s="61">
        <v>7035795</v>
      </c>
      <c r="J24" s="33">
        <f t="shared" si="3"/>
        <v>10726.000332338857</v>
      </c>
      <c r="K24" s="62">
        <v>9353946.8200000003</v>
      </c>
      <c r="L24" s="63">
        <f t="shared" si="4"/>
        <v>14260</v>
      </c>
      <c r="M24" s="69">
        <f t="shared" si="5"/>
        <v>16389741.82</v>
      </c>
      <c r="N24" s="70">
        <f t="shared" si="6"/>
        <v>24986.000332338859</v>
      </c>
      <c r="O24" s="110">
        <v>9760640.1600000001</v>
      </c>
      <c r="P24" s="32">
        <f t="shared" si="11"/>
        <v>14880</v>
      </c>
      <c r="Q24" s="71">
        <v>7944754.3968999991</v>
      </c>
      <c r="R24" s="146">
        <v>12111.699999999999</v>
      </c>
      <c r="S24" s="77">
        <f t="shared" si="8"/>
        <v>24334496.216899998</v>
      </c>
      <c r="T24" s="78">
        <f t="shared" si="12"/>
        <v>37097.700332338856</v>
      </c>
      <c r="U24" s="79">
        <f t="shared" si="13"/>
        <v>1815885.763100001</v>
      </c>
      <c r="V24" s="42">
        <f t="shared" si="14"/>
        <v>2768.3000000000015</v>
      </c>
      <c r="W24" s="49">
        <f t="shared" si="9"/>
        <v>14708064.423100002</v>
      </c>
      <c r="X24" s="33">
        <f t="shared" si="15"/>
        <v>22422.299667661147</v>
      </c>
      <c r="Y24" s="85">
        <f t="shared" si="16"/>
        <v>0.81395833333333323</v>
      </c>
      <c r="Z24" s="85">
        <f t="shared" si="10"/>
        <v>0.62328125558365011</v>
      </c>
      <c r="AA24" s="88"/>
      <c r="AM24" s="1"/>
    </row>
    <row r="25" spans="1:39" ht="15" customHeight="1" x14ac:dyDescent="0.35">
      <c r="A25" s="120" t="s">
        <v>34</v>
      </c>
      <c r="B25" s="125" t="s">
        <v>32</v>
      </c>
      <c r="C25" s="100">
        <f>1*12*4</f>
        <v>48</v>
      </c>
      <c r="D25" s="92">
        <f>8*62</f>
        <v>496</v>
      </c>
      <c r="E25" s="92">
        <f t="shared" si="0"/>
        <v>23808</v>
      </c>
      <c r="F25" s="99">
        <f t="shared" si="1"/>
        <v>15617024.255999999</v>
      </c>
      <c r="G25" s="98">
        <f t="shared" si="2"/>
        <v>15617024.255999999</v>
      </c>
      <c r="H25" s="99">
        <f>E25</f>
        <v>23808</v>
      </c>
      <c r="I25" s="61">
        <v>3660240</v>
      </c>
      <c r="J25" s="33">
        <f t="shared" si="3"/>
        <v>5579.9999085305899</v>
      </c>
      <c r="K25" s="62">
        <v>5032830.0824999996</v>
      </c>
      <c r="L25" s="63">
        <f t="shared" si="4"/>
        <v>7672.4999999999991</v>
      </c>
      <c r="M25" s="69">
        <f t="shared" si="5"/>
        <v>8693070.0824999996</v>
      </c>
      <c r="N25" s="70">
        <f t="shared" si="6"/>
        <v>13252.49990853059</v>
      </c>
      <c r="O25" s="110">
        <v>3904256.0639999998</v>
      </c>
      <c r="P25" s="32">
        <f t="shared" si="11"/>
        <v>5952</v>
      </c>
      <c r="Q25" s="71">
        <v>2846853.38</v>
      </c>
      <c r="R25" s="146">
        <v>4340</v>
      </c>
      <c r="S25" s="77">
        <f t="shared" si="8"/>
        <v>11539923.462499999</v>
      </c>
      <c r="T25" s="78">
        <f t="shared" si="12"/>
        <v>17592.499908530586</v>
      </c>
      <c r="U25" s="79">
        <f t="shared" si="13"/>
        <v>1057402.6839999999</v>
      </c>
      <c r="V25" s="42">
        <f t="shared" si="14"/>
        <v>1611.9999999999998</v>
      </c>
      <c r="W25" s="49">
        <f t="shared" si="9"/>
        <v>4077100.7935000006</v>
      </c>
      <c r="X25" s="33">
        <f t="shared" si="15"/>
        <v>6215.500091469411</v>
      </c>
      <c r="Y25" s="85">
        <f t="shared" si="16"/>
        <v>0.72916666666666663</v>
      </c>
      <c r="Z25" s="85">
        <f t="shared" si="10"/>
        <v>0.73893228782470555</v>
      </c>
      <c r="AA25" s="88"/>
      <c r="AM25" s="1"/>
    </row>
    <row r="26" spans="1:39" ht="15" customHeight="1" x14ac:dyDescent="0.35">
      <c r="A26" s="121" t="s">
        <v>35</v>
      </c>
      <c r="B26" s="34"/>
      <c r="C26" s="25"/>
      <c r="D26" s="26"/>
      <c r="E26" s="27">
        <f>SUM(E15:E25)</f>
        <v>496848</v>
      </c>
      <c r="F26" s="35">
        <f t="shared" si="1"/>
        <v>325910923.53600001</v>
      </c>
      <c r="G26" s="50">
        <f t="shared" ref="G26:N26" si="17">SUM(G15:G25)</f>
        <v>272227402.65600002</v>
      </c>
      <c r="H26" s="35">
        <f t="shared" si="17"/>
        <v>415008</v>
      </c>
      <c r="I26" s="50">
        <f t="shared" si="17"/>
        <v>47761250</v>
      </c>
      <c r="J26" s="35">
        <f t="shared" si="17"/>
        <v>72811.556245302665</v>
      </c>
      <c r="K26" s="64">
        <f t="shared" si="17"/>
        <v>74700149.282499999</v>
      </c>
      <c r="L26" s="65">
        <f t="shared" si="17"/>
        <v>113879.64345604971</v>
      </c>
      <c r="M26" s="64">
        <f t="shared" si="17"/>
        <v>122461399.28249998</v>
      </c>
      <c r="N26" s="65">
        <f t="shared" si="17"/>
        <v>186691.19970135237</v>
      </c>
      <c r="O26" s="65">
        <f t="shared" ref="O26" si="18">SUM(O15:O25)</f>
        <v>81477730.883999988</v>
      </c>
      <c r="P26" s="65">
        <f t="shared" ref="P26" si="19">SUM(P15:P25)</f>
        <v>124212</v>
      </c>
      <c r="Q26" s="50">
        <f>SUM(Q15:Q25)</f>
        <v>78618226.376899987</v>
      </c>
      <c r="R26" s="35">
        <f t="shared" ref="R26:X26" si="20">SUM(R15:R25)</f>
        <v>119852.7134810666</v>
      </c>
      <c r="S26" s="50">
        <f t="shared" si="20"/>
        <v>201079625.65940002</v>
      </c>
      <c r="T26" s="35">
        <f t="shared" si="20"/>
        <v>306543.91318241891</v>
      </c>
      <c r="U26" s="50">
        <f t="shared" si="20"/>
        <v>2859504.507100001</v>
      </c>
      <c r="V26" s="35">
        <f t="shared" si="20"/>
        <v>4359.2865189334061</v>
      </c>
      <c r="W26" s="50">
        <f t="shared" si="20"/>
        <v>71147776.996600002</v>
      </c>
      <c r="X26" s="35">
        <f t="shared" si="20"/>
        <v>108464.08681758105</v>
      </c>
      <c r="Y26" s="86"/>
      <c r="Z26" s="86"/>
      <c r="AA26" s="86"/>
      <c r="AM26" s="1"/>
    </row>
    <row r="27" spans="1:39" ht="15" customHeight="1" x14ac:dyDescent="0.35">
      <c r="A27" s="118" t="s">
        <v>36</v>
      </c>
      <c r="B27" s="124"/>
      <c r="C27" s="91"/>
      <c r="D27" s="92"/>
      <c r="E27" s="93"/>
      <c r="F27" s="99"/>
      <c r="G27" s="98"/>
      <c r="H27" s="99"/>
      <c r="I27" s="49"/>
      <c r="J27" s="33"/>
      <c r="K27" s="62"/>
      <c r="L27" s="63"/>
      <c r="M27" s="69"/>
      <c r="N27" s="70"/>
      <c r="O27" s="110"/>
      <c r="P27" s="32"/>
      <c r="Q27" s="73"/>
      <c r="R27" s="72"/>
      <c r="S27" s="77"/>
      <c r="T27" s="78"/>
      <c r="U27" s="79"/>
      <c r="V27" s="80"/>
      <c r="W27" s="81"/>
      <c r="X27" s="82"/>
      <c r="Y27" s="87"/>
      <c r="Z27" s="87"/>
      <c r="AA27" s="88"/>
      <c r="AM27" s="1"/>
    </row>
    <row r="28" spans="1:39" ht="15" customHeight="1" x14ac:dyDescent="0.35">
      <c r="A28" s="120" t="s">
        <v>37</v>
      </c>
      <c r="B28" s="125" t="s">
        <v>13</v>
      </c>
      <c r="C28" s="100">
        <v>1</v>
      </c>
      <c r="D28" s="92">
        <v>59277</v>
      </c>
      <c r="E28" s="92">
        <f>C28*D28</f>
        <v>59277</v>
      </c>
      <c r="F28" s="99">
        <f t="shared" ref="F28:F34" si="21">+E28*655.957</f>
        <v>38883163.089000002</v>
      </c>
      <c r="G28" s="98">
        <f>+H28*655.957</f>
        <v>38883163.089000002</v>
      </c>
      <c r="H28" s="99">
        <f>+E28</f>
        <v>59277</v>
      </c>
      <c r="I28" s="62">
        <v>33853154</v>
      </c>
      <c r="J28" s="33">
        <f>+I28/655.957</f>
        <v>51608.800576867085</v>
      </c>
      <c r="K28" s="62"/>
      <c r="L28" s="63"/>
      <c r="M28" s="69"/>
      <c r="N28" s="70"/>
      <c r="O28" s="110">
        <v>0</v>
      </c>
      <c r="P28" s="32">
        <f t="shared" ref="P28:P30" si="22">O28/655.957</f>
        <v>0</v>
      </c>
      <c r="Q28" s="71"/>
      <c r="R28" s="72"/>
      <c r="S28" s="77"/>
      <c r="T28" s="78"/>
      <c r="U28" s="79"/>
      <c r="V28" s="42"/>
      <c r="W28" s="49">
        <f>+G28-S28</f>
        <v>38883163.089000002</v>
      </c>
      <c r="X28" s="33">
        <f t="shared" ref="X28:X30" si="23">W28/655.957</f>
        <v>59277</v>
      </c>
      <c r="Y28" s="85" t="e">
        <f t="shared" ref="Y28:Y30" si="24">+Q28/O28</f>
        <v>#DIV/0!</v>
      </c>
      <c r="Z28" s="85">
        <f t="shared" ref="Z28:Z30" si="25">+S28/G28</f>
        <v>0</v>
      </c>
      <c r="AA28" s="88" t="s">
        <v>0</v>
      </c>
      <c r="AM28" s="1"/>
    </row>
    <row r="29" spans="1:39" ht="15" customHeight="1" x14ac:dyDescent="0.35">
      <c r="A29" s="120" t="s">
        <v>38</v>
      </c>
      <c r="B29" s="125" t="s">
        <v>23</v>
      </c>
      <c r="C29" s="100">
        <v>48</v>
      </c>
      <c r="D29" s="92">
        <v>100</v>
      </c>
      <c r="E29" s="92">
        <f>C29*D29</f>
        <v>4800</v>
      </c>
      <c r="F29" s="99">
        <f t="shared" si="21"/>
        <v>3148593.6</v>
      </c>
      <c r="G29" s="98">
        <f>+H29*655.957</f>
        <v>3148593.6</v>
      </c>
      <c r="H29" s="99">
        <f>E29</f>
        <v>4800</v>
      </c>
      <c r="I29" s="62"/>
      <c r="J29" s="33">
        <f>+I29/655.957</f>
        <v>0</v>
      </c>
      <c r="K29" s="62">
        <v>759947</v>
      </c>
      <c r="L29" s="63">
        <f>+K29/655.957</f>
        <v>1158.531733025183</v>
      </c>
      <c r="M29" s="69">
        <f>I29+K29</f>
        <v>759947</v>
      </c>
      <c r="N29" s="70">
        <f>+J29+L29</f>
        <v>1158.531733025183</v>
      </c>
      <c r="O29" s="110">
        <v>787148.4</v>
      </c>
      <c r="P29" s="32">
        <f t="shared" si="22"/>
        <v>1200</v>
      </c>
      <c r="Q29" s="71">
        <v>715067</v>
      </c>
      <c r="R29" s="74">
        <f>+Q29/655.957</f>
        <v>1090.1126140890333</v>
      </c>
      <c r="S29" s="77">
        <f>+M29+Q29</f>
        <v>1475014</v>
      </c>
      <c r="T29" s="78">
        <f t="shared" ref="T29:T30" si="26">+S29/655.957</f>
        <v>2248.6443471142165</v>
      </c>
      <c r="U29" s="79">
        <f t="shared" ref="U29:U30" si="27">O29-Q29</f>
        <v>72081.400000000023</v>
      </c>
      <c r="V29" s="42">
        <f t="shared" ref="V29:V30" si="28">U29/655.957</f>
        <v>109.88738591096676</v>
      </c>
      <c r="W29" s="49">
        <f>+G29-S29</f>
        <v>1673579.6</v>
      </c>
      <c r="X29" s="33">
        <f t="shared" si="23"/>
        <v>2551.3556528857839</v>
      </c>
      <c r="Y29" s="85">
        <f t="shared" si="24"/>
        <v>0.90842717840752774</v>
      </c>
      <c r="Z29" s="85">
        <f t="shared" si="25"/>
        <v>0.46846757231546171</v>
      </c>
      <c r="AA29" s="88"/>
      <c r="AM29" s="1"/>
    </row>
    <row r="30" spans="1:39" ht="15" customHeight="1" x14ac:dyDescent="0.35">
      <c r="A30" s="120" t="s">
        <v>39</v>
      </c>
      <c r="B30" s="125" t="s">
        <v>23</v>
      </c>
      <c r="C30" s="100">
        <v>48</v>
      </c>
      <c r="D30" s="92">
        <v>130</v>
      </c>
      <c r="E30" s="92">
        <f>C30*D30</f>
        <v>6240</v>
      </c>
      <c r="F30" s="99">
        <f t="shared" si="21"/>
        <v>4093171.68</v>
      </c>
      <c r="G30" s="98">
        <f>+H30*655.957</f>
        <v>4093171.68</v>
      </c>
      <c r="H30" s="99">
        <f>E30</f>
        <v>6240</v>
      </c>
      <c r="I30" s="62">
        <v>367246</v>
      </c>
      <c r="J30" s="33">
        <f>+I30/655.957</f>
        <v>559.86291784370007</v>
      </c>
      <c r="K30" s="62">
        <v>997600</v>
      </c>
      <c r="L30" s="63">
        <f>+K30/655.957</f>
        <v>1520.8313959604059</v>
      </c>
      <c r="M30" s="69">
        <f>I30+K30</f>
        <v>1364846</v>
      </c>
      <c r="N30" s="70">
        <f>+J30+L30</f>
        <v>2080.6943138041061</v>
      </c>
      <c r="O30" s="110">
        <v>1023292.92</v>
      </c>
      <c r="P30" s="32">
        <f t="shared" si="22"/>
        <v>1560</v>
      </c>
      <c r="Q30" s="71">
        <v>966200</v>
      </c>
      <c r="R30" s="74">
        <f>+Q30/655.957</f>
        <v>1472.962404547859</v>
      </c>
      <c r="S30" s="77">
        <f>+M30+Q30</f>
        <v>2331046</v>
      </c>
      <c r="T30" s="78">
        <f t="shared" si="26"/>
        <v>3553.6567183519651</v>
      </c>
      <c r="U30" s="79">
        <f t="shared" si="27"/>
        <v>57092.920000000042</v>
      </c>
      <c r="V30" s="42">
        <f t="shared" si="28"/>
        <v>87.037595452140977</v>
      </c>
      <c r="W30" s="49">
        <f>+G30-S30</f>
        <v>1762125.6800000002</v>
      </c>
      <c r="X30" s="33">
        <f t="shared" si="23"/>
        <v>2686.3432816480349</v>
      </c>
      <c r="Y30" s="85">
        <f t="shared" si="24"/>
        <v>0.94420666958196087</v>
      </c>
      <c r="Z30" s="85">
        <f t="shared" si="25"/>
        <v>0.56949626896666106</v>
      </c>
      <c r="AA30" s="88"/>
      <c r="AM30" s="1"/>
    </row>
    <row r="31" spans="1:39" ht="15" customHeight="1" x14ac:dyDescent="0.35">
      <c r="A31" s="121" t="s">
        <v>40</v>
      </c>
      <c r="B31" s="34"/>
      <c r="C31" s="25"/>
      <c r="D31" s="26"/>
      <c r="E31" s="27">
        <f>SUM(E28:E30)</f>
        <v>70317</v>
      </c>
      <c r="F31" s="35">
        <f t="shared" si="21"/>
        <v>46124928.369000003</v>
      </c>
      <c r="G31" s="50">
        <f t="shared" ref="G31:N31" si="29">SUM(G28:G30)</f>
        <v>46124928.369000003</v>
      </c>
      <c r="H31" s="35">
        <f t="shared" si="29"/>
        <v>70317</v>
      </c>
      <c r="I31" s="50">
        <f t="shared" si="29"/>
        <v>34220400</v>
      </c>
      <c r="J31" s="35">
        <f t="shared" si="29"/>
        <v>52168.663494710781</v>
      </c>
      <c r="K31" s="66">
        <f t="shared" si="29"/>
        <v>1757547</v>
      </c>
      <c r="L31" s="67">
        <f t="shared" si="29"/>
        <v>2679.3631289855889</v>
      </c>
      <c r="M31" s="66">
        <f t="shared" si="29"/>
        <v>2124793</v>
      </c>
      <c r="N31" s="67">
        <f t="shared" si="29"/>
        <v>3239.2260468292889</v>
      </c>
      <c r="O31" s="67">
        <f t="shared" ref="O31" si="30">SUM(O28:O30)</f>
        <v>1810441.32</v>
      </c>
      <c r="P31" s="67">
        <f t="shared" ref="P31" si="31">SUM(P28:P30)</f>
        <v>2760</v>
      </c>
      <c r="Q31" s="66">
        <f>SUM(Q28:Q30)</f>
        <v>1681267</v>
      </c>
      <c r="R31" s="67">
        <f>SUM(R28:R30)</f>
        <v>2563.0750186368923</v>
      </c>
      <c r="S31" s="66">
        <f t="shared" ref="S31:T31" si="32">SUM(S28:S30)</f>
        <v>3806060</v>
      </c>
      <c r="T31" s="67">
        <f t="shared" si="32"/>
        <v>5802.3010654661812</v>
      </c>
      <c r="U31" s="66">
        <f t="shared" ref="U31" si="33">SUM(U28:U30)</f>
        <v>129174.32000000007</v>
      </c>
      <c r="V31" s="149">
        <f t="shared" ref="V31" si="34">SUM(V28:V30)</f>
        <v>196.92498136310775</v>
      </c>
      <c r="W31" s="50">
        <f>SUM(W28:W30)</f>
        <v>42318868.369000003</v>
      </c>
      <c r="X31" s="35">
        <f>SUM(X28:X30)</f>
        <v>64514.698934533815</v>
      </c>
      <c r="Y31" s="86"/>
      <c r="Z31" s="86"/>
      <c r="AA31" s="86"/>
      <c r="AM31" s="1"/>
    </row>
    <row r="32" spans="1:39" ht="15" customHeight="1" x14ac:dyDescent="0.35">
      <c r="A32" s="118" t="s">
        <v>41</v>
      </c>
      <c r="B32" s="124"/>
      <c r="C32" s="91"/>
      <c r="D32" s="92"/>
      <c r="E32" s="93"/>
      <c r="F32" s="99">
        <f t="shared" si="21"/>
        <v>0</v>
      </c>
      <c r="G32" s="98"/>
      <c r="H32" s="99"/>
      <c r="I32" s="49"/>
      <c r="J32" s="33"/>
      <c r="K32" s="62"/>
      <c r="L32" s="63"/>
      <c r="M32" s="69"/>
      <c r="N32" s="70"/>
      <c r="O32" s="110"/>
      <c r="P32" s="32"/>
      <c r="Q32" s="73"/>
      <c r="R32" s="72"/>
      <c r="S32" s="77"/>
      <c r="T32" s="78"/>
      <c r="U32" s="79"/>
      <c r="V32" s="42"/>
      <c r="W32" s="49"/>
      <c r="X32" s="33"/>
      <c r="Y32" s="88"/>
      <c r="Z32" s="88"/>
      <c r="AA32" s="88"/>
      <c r="AM32" s="1"/>
    </row>
    <row r="33" spans="1:39" ht="25.5" customHeight="1" x14ac:dyDescent="0.35">
      <c r="A33" s="120" t="s">
        <v>42</v>
      </c>
      <c r="B33" s="125" t="s">
        <v>43</v>
      </c>
      <c r="C33" s="100">
        <v>4</v>
      </c>
      <c r="D33" s="92">
        <v>1200</v>
      </c>
      <c r="E33" s="92">
        <f>C33*D33</f>
        <v>4800</v>
      </c>
      <c r="F33" s="99">
        <f t="shared" si="21"/>
        <v>3148593.6</v>
      </c>
      <c r="G33" s="98">
        <f>+H33*655.957</f>
        <v>1574296.8</v>
      </c>
      <c r="H33" s="99">
        <v>2400</v>
      </c>
      <c r="I33" s="62">
        <v>3472797</v>
      </c>
      <c r="J33" s="33">
        <f>+I33/655.957</f>
        <v>5294.2448971502708</v>
      </c>
      <c r="K33" s="62">
        <v>0</v>
      </c>
      <c r="L33" s="63">
        <v>0</v>
      </c>
      <c r="M33" s="69">
        <f>I33+K33</f>
        <v>3472797</v>
      </c>
      <c r="N33" s="70">
        <f>+J33+L33</f>
        <v>5294.2448971502708</v>
      </c>
      <c r="O33" s="110">
        <v>0</v>
      </c>
      <c r="P33" s="32">
        <f t="shared" ref="P33:P34" si="35">O33/655.957</f>
        <v>0</v>
      </c>
      <c r="Q33" s="73">
        <v>0</v>
      </c>
      <c r="R33" s="72">
        <f>+Q33/655.957</f>
        <v>0</v>
      </c>
      <c r="S33" s="77">
        <f>+M33+Q33</f>
        <v>3472797</v>
      </c>
      <c r="T33" s="78">
        <f t="shared" ref="T33:T34" si="36">+S33/655.957</f>
        <v>5294.2448971502708</v>
      </c>
      <c r="U33" s="79">
        <f t="shared" ref="U33:U34" si="37">O33-Q33</f>
        <v>0</v>
      </c>
      <c r="V33" s="42">
        <f t="shared" ref="V33:V34" si="38">U33/655.957</f>
        <v>0</v>
      </c>
      <c r="W33" s="49">
        <f>+G33-S33</f>
        <v>-1898500.2</v>
      </c>
      <c r="X33" s="33">
        <f t="shared" ref="X33:X34" si="39">W33/655.957</f>
        <v>-2894.2448971502704</v>
      </c>
      <c r="Y33" s="85" t="e">
        <f t="shared" ref="Y33:Y34" si="40">+Q33/O33</f>
        <v>#DIV/0!</v>
      </c>
      <c r="Z33" s="85">
        <f t="shared" ref="Z33:Z34" si="41">+S33/G33</f>
        <v>2.2059353738126126</v>
      </c>
      <c r="AA33" s="88"/>
      <c r="AM33" s="1"/>
    </row>
    <row r="34" spans="1:39" ht="15" customHeight="1" x14ac:dyDescent="0.35">
      <c r="A34" s="120" t="s">
        <v>44</v>
      </c>
      <c r="B34" s="125" t="s">
        <v>13</v>
      </c>
      <c r="C34" s="100">
        <v>2</v>
      </c>
      <c r="D34" s="92">
        <v>500</v>
      </c>
      <c r="E34" s="92">
        <f>C34*D34</f>
        <v>1000</v>
      </c>
      <c r="F34" s="99">
        <f t="shared" si="21"/>
        <v>655957</v>
      </c>
      <c r="G34" s="98">
        <f>+H34*655.957</f>
        <v>327978.5</v>
      </c>
      <c r="H34" s="99">
        <f>D34*1</f>
        <v>500</v>
      </c>
      <c r="I34" s="62">
        <v>651360</v>
      </c>
      <c r="J34" s="33">
        <f>+I34/655.957</f>
        <v>992.99191867759623</v>
      </c>
      <c r="K34" s="62"/>
      <c r="L34" s="63"/>
      <c r="M34" s="69">
        <f>I34+K34</f>
        <v>651360</v>
      </c>
      <c r="N34" s="70">
        <f>+J34+L34</f>
        <v>992.99191867759623</v>
      </c>
      <c r="O34" s="110">
        <v>0</v>
      </c>
      <c r="P34" s="32">
        <f t="shared" si="35"/>
        <v>0</v>
      </c>
      <c r="Q34" s="73">
        <v>0</v>
      </c>
      <c r="R34" s="72">
        <f>+Q34/655.957</f>
        <v>0</v>
      </c>
      <c r="S34" s="77">
        <f>+M34+Q34</f>
        <v>651360</v>
      </c>
      <c r="T34" s="78">
        <f t="shared" si="36"/>
        <v>992.99191867759623</v>
      </c>
      <c r="U34" s="79">
        <f t="shared" si="37"/>
        <v>0</v>
      </c>
      <c r="V34" s="42">
        <f t="shared" si="38"/>
        <v>0</v>
      </c>
      <c r="W34" s="49">
        <f>+G34-S34</f>
        <v>-323381.5</v>
      </c>
      <c r="X34" s="33">
        <f t="shared" si="39"/>
        <v>-492.99191867759623</v>
      </c>
      <c r="Y34" s="85" t="e">
        <f t="shared" si="40"/>
        <v>#DIV/0!</v>
      </c>
      <c r="Z34" s="85">
        <f t="shared" si="41"/>
        <v>1.9859838373551926</v>
      </c>
      <c r="AA34" s="88"/>
      <c r="AM34" s="1"/>
    </row>
    <row r="35" spans="1:39" ht="15" customHeight="1" x14ac:dyDescent="0.35">
      <c r="A35" s="121" t="s">
        <v>45</v>
      </c>
      <c r="B35" s="34"/>
      <c r="C35" s="25"/>
      <c r="D35" s="26"/>
      <c r="E35" s="27">
        <f>SUM(E33:E34)</f>
        <v>5800</v>
      </c>
      <c r="F35" s="35">
        <f>E35*655.957</f>
        <v>3804550.6</v>
      </c>
      <c r="G35" s="50">
        <f t="shared" ref="G35:N35" si="42">SUM(G33:G34)</f>
        <v>1902275.3</v>
      </c>
      <c r="H35" s="35">
        <f t="shared" si="42"/>
        <v>2900</v>
      </c>
      <c r="I35" s="50">
        <f t="shared" si="42"/>
        <v>4124157</v>
      </c>
      <c r="J35" s="35">
        <f t="shared" si="42"/>
        <v>6287.2368158278668</v>
      </c>
      <c r="K35" s="66">
        <f t="shared" si="42"/>
        <v>0</v>
      </c>
      <c r="L35" s="67">
        <f t="shared" si="42"/>
        <v>0</v>
      </c>
      <c r="M35" s="66">
        <f t="shared" si="42"/>
        <v>4124157</v>
      </c>
      <c r="N35" s="67">
        <f t="shared" si="42"/>
        <v>6287.2368158278668</v>
      </c>
      <c r="O35" s="67">
        <f t="shared" ref="O35" si="43">SUM(O33:O34)</f>
        <v>0</v>
      </c>
      <c r="P35" s="67">
        <f t="shared" ref="P35" si="44">SUM(P33:P34)</f>
        <v>0</v>
      </c>
      <c r="Q35" s="66">
        <f t="shared" ref="Q35:X35" si="45">SUM(Q33:Q34)</f>
        <v>0</v>
      </c>
      <c r="R35" s="67">
        <f t="shared" si="45"/>
        <v>0</v>
      </c>
      <c r="S35" s="66">
        <f t="shared" si="45"/>
        <v>4124157</v>
      </c>
      <c r="T35" s="67">
        <f t="shared" si="45"/>
        <v>6287.2368158278668</v>
      </c>
      <c r="U35" s="66">
        <f t="shared" si="45"/>
        <v>0</v>
      </c>
      <c r="V35" s="67">
        <f t="shared" si="45"/>
        <v>0</v>
      </c>
      <c r="W35" s="50">
        <f t="shared" si="45"/>
        <v>-2221881.7000000002</v>
      </c>
      <c r="X35" s="35">
        <f t="shared" si="45"/>
        <v>-3387.2368158278668</v>
      </c>
      <c r="Y35" s="86"/>
      <c r="Z35" s="86"/>
      <c r="AA35" s="86"/>
      <c r="AM35" s="1"/>
    </row>
    <row r="36" spans="1:39" ht="15" customHeight="1" x14ac:dyDescent="0.35">
      <c r="A36" s="118" t="s">
        <v>46</v>
      </c>
      <c r="B36" s="124" t="s">
        <v>47</v>
      </c>
      <c r="C36" s="91"/>
      <c r="D36" s="92"/>
      <c r="E36" s="93"/>
      <c r="F36" s="99" t="s">
        <v>0</v>
      </c>
      <c r="G36" s="98"/>
      <c r="H36" s="99"/>
      <c r="I36" s="49"/>
      <c r="J36" s="33"/>
      <c r="K36" s="62"/>
      <c r="L36" s="63"/>
      <c r="M36" s="69"/>
      <c r="N36" s="70"/>
      <c r="O36" s="110"/>
      <c r="P36" s="32"/>
      <c r="Q36" s="73"/>
      <c r="R36" s="72"/>
      <c r="S36" s="77"/>
      <c r="T36" s="78"/>
      <c r="U36" s="79"/>
      <c r="V36" s="42"/>
      <c r="W36" s="49"/>
      <c r="X36" s="33"/>
      <c r="Y36" s="88"/>
      <c r="Z36" s="88"/>
      <c r="AA36" s="88"/>
      <c r="AM36" s="1"/>
    </row>
    <row r="37" spans="1:39" ht="15" customHeight="1" x14ac:dyDescent="0.35">
      <c r="A37" s="120" t="s">
        <v>48</v>
      </c>
      <c r="B37" s="125" t="s">
        <v>23</v>
      </c>
      <c r="C37" s="100">
        <v>48</v>
      </c>
      <c r="D37" s="92">
        <v>300</v>
      </c>
      <c r="E37" s="92">
        <f t="shared" ref="E37:E43" si="46">C37*D37</f>
        <v>14400</v>
      </c>
      <c r="F37" s="99">
        <f t="shared" ref="F37:F43" si="47">+E37*655.957</f>
        <v>9445780.8000000007</v>
      </c>
      <c r="G37" s="98">
        <f t="shared" ref="G37:G43" si="48">+H37*655.957</f>
        <v>7084335.5999999996</v>
      </c>
      <c r="H37" s="99">
        <v>10800</v>
      </c>
      <c r="I37" s="62">
        <v>1643976</v>
      </c>
      <c r="J37" s="33">
        <f t="shared" ref="J37:J43" si="49">+I37/655.957</f>
        <v>2506.2252556188896</v>
      </c>
      <c r="K37" s="31">
        <v>1180722</v>
      </c>
      <c r="L37" s="63">
        <f t="shared" ref="L37:L43" si="50">+K37/655.957</f>
        <v>1799.9990853058966</v>
      </c>
      <c r="M37" s="69">
        <f t="shared" ref="M37:M43" si="51">I37+K37</f>
        <v>2824698</v>
      </c>
      <c r="N37" s="70">
        <f t="shared" ref="N37:N43" si="52">+J37+L37</f>
        <v>4306.2243409247858</v>
      </c>
      <c r="O37" s="110">
        <v>2361445.2000000002</v>
      </c>
      <c r="P37" s="32">
        <f t="shared" ref="P37:P43" si="53">O37/655.957</f>
        <v>3600.0000000000005</v>
      </c>
      <c r="Q37" s="71">
        <v>2361444</v>
      </c>
      <c r="R37" s="74">
        <f t="shared" ref="R37:R43" si="54">+Q37/655.957</f>
        <v>3599.9981706117933</v>
      </c>
      <c r="S37" s="77">
        <f t="shared" ref="S37:S42" si="55">+M37+Q37</f>
        <v>5186142</v>
      </c>
      <c r="T37" s="78">
        <f t="shared" ref="T37:T43" si="56">+S37/655.957</f>
        <v>7906.2225115365791</v>
      </c>
      <c r="U37" s="79">
        <f>O37-Q37</f>
        <v>1.2000000001862645</v>
      </c>
      <c r="V37" s="42">
        <f>U37/655.957</f>
        <v>1.829388207132883E-3</v>
      </c>
      <c r="W37" s="49">
        <f t="shared" ref="W37:W43" si="57">+G37-S37</f>
        <v>1898193.5999999996</v>
      </c>
      <c r="X37" s="33">
        <f t="shared" ref="X37:X43" si="58">W37/655.957</f>
        <v>2893.77748846342</v>
      </c>
      <c r="Y37" s="85">
        <f t="shared" ref="Y37:Y43" si="59">+Q37/O37</f>
        <v>0.99999949183660908</v>
      </c>
      <c r="Z37" s="85">
        <f t="shared" ref="Z37:Z43" si="60">+S37/G37</f>
        <v>0.73205763995709072</v>
      </c>
      <c r="AA37" s="88"/>
      <c r="AM37" s="1"/>
    </row>
    <row r="38" spans="1:39" ht="15" customHeight="1" x14ac:dyDescent="0.35">
      <c r="A38" s="120" t="s">
        <v>49</v>
      </c>
      <c r="B38" s="125" t="s">
        <v>23</v>
      </c>
      <c r="C38" s="100">
        <v>48</v>
      </c>
      <c r="D38" s="92">
        <v>800</v>
      </c>
      <c r="E38" s="92">
        <f t="shared" si="46"/>
        <v>38400</v>
      </c>
      <c r="F38" s="99">
        <f t="shared" si="47"/>
        <v>25188748.800000001</v>
      </c>
      <c r="G38" s="98">
        <f t="shared" si="48"/>
        <v>18891561.600000001</v>
      </c>
      <c r="H38" s="99">
        <v>28800</v>
      </c>
      <c r="I38" s="62">
        <v>4722885</v>
      </c>
      <c r="J38" s="33">
        <f t="shared" si="49"/>
        <v>7199.9917677530693</v>
      </c>
      <c r="K38" s="31">
        <v>3148590</v>
      </c>
      <c r="L38" s="63">
        <f t="shared" si="50"/>
        <v>4799.9945118353799</v>
      </c>
      <c r="M38" s="69">
        <f t="shared" si="51"/>
        <v>7871475</v>
      </c>
      <c r="N38" s="70">
        <f t="shared" si="52"/>
        <v>11999.986279588449</v>
      </c>
      <c r="O38" s="110">
        <v>6297187.2000000002</v>
      </c>
      <c r="P38" s="32">
        <f t="shared" si="53"/>
        <v>9600</v>
      </c>
      <c r="Q38" s="71">
        <v>6297180</v>
      </c>
      <c r="R38" s="74">
        <f t="shared" si="54"/>
        <v>9599.9890236707597</v>
      </c>
      <c r="S38" s="77">
        <f t="shared" si="55"/>
        <v>14168655</v>
      </c>
      <c r="T38" s="78">
        <f t="shared" si="56"/>
        <v>21599.975303259209</v>
      </c>
      <c r="U38" s="79">
        <f t="shared" ref="U38:U43" si="61">O38-Q38</f>
        <v>7.2000000001862645</v>
      </c>
      <c r="V38" s="42">
        <f t="shared" ref="V38:V43" si="62">U38/655.957</f>
        <v>1.0976329241377506E-2</v>
      </c>
      <c r="W38" s="49">
        <f t="shared" si="57"/>
        <v>4722906.6000000015</v>
      </c>
      <c r="X38" s="33">
        <f t="shared" si="58"/>
        <v>7200.0246967407948</v>
      </c>
      <c r="Y38" s="85">
        <f t="shared" si="59"/>
        <v>0.99999885663237065</v>
      </c>
      <c r="Z38" s="85">
        <f t="shared" si="60"/>
        <v>0.74999914247427801</v>
      </c>
      <c r="AA38" s="88"/>
      <c r="AM38" s="1"/>
    </row>
    <row r="39" spans="1:39" ht="15" customHeight="1" x14ac:dyDescent="0.35">
      <c r="A39" s="120" t="s">
        <v>50</v>
      </c>
      <c r="B39" s="125" t="s">
        <v>23</v>
      </c>
      <c r="C39" s="100">
        <v>48</v>
      </c>
      <c r="D39" s="92">
        <v>250</v>
      </c>
      <c r="E39" s="92">
        <f t="shared" si="46"/>
        <v>12000</v>
      </c>
      <c r="F39" s="99">
        <f t="shared" si="47"/>
        <v>7871484</v>
      </c>
      <c r="G39" s="98">
        <f t="shared" si="48"/>
        <v>5903613</v>
      </c>
      <c r="H39" s="99">
        <v>9000</v>
      </c>
      <c r="I39" s="62">
        <v>1475901</v>
      </c>
      <c r="J39" s="33">
        <f t="shared" si="49"/>
        <v>2249.9965698971123</v>
      </c>
      <c r="K39" s="31">
        <v>983934</v>
      </c>
      <c r="L39" s="63">
        <f t="shared" si="50"/>
        <v>1499.9977132647414</v>
      </c>
      <c r="M39" s="69">
        <f t="shared" si="51"/>
        <v>2459835</v>
      </c>
      <c r="N39" s="70">
        <f t="shared" si="52"/>
        <v>3749.9942831618537</v>
      </c>
      <c r="O39" s="110">
        <v>1967871</v>
      </c>
      <c r="P39" s="32">
        <f t="shared" si="53"/>
        <v>3000</v>
      </c>
      <c r="Q39" s="71">
        <v>1967868</v>
      </c>
      <c r="R39" s="74">
        <f t="shared" si="54"/>
        <v>2999.9954265294828</v>
      </c>
      <c r="S39" s="77">
        <f t="shared" si="55"/>
        <v>4427703</v>
      </c>
      <c r="T39" s="78">
        <f t="shared" si="56"/>
        <v>6749.9897096913364</v>
      </c>
      <c r="U39" s="79">
        <f t="shared" si="61"/>
        <v>3</v>
      </c>
      <c r="V39" s="42">
        <f t="shared" si="62"/>
        <v>4.5734705171223116E-3</v>
      </c>
      <c r="W39" s="49">
        <f t="shared" si="57"/>
        <v>1475910</v>
      </c>
      <c r="X39" s="33">
        <f t="shared" si="58"/>
        <v>2250.0102903086636</v>
      </c>
      <c r="Y39" s="85">
        <f t="shared" si="59"/>
        <v>0.99999847550982768</v>
      </c>
      <c r="Z39" s="85">
        <f t="shared" si="60"/>
        <v>0.74999885663237076</v>
      </c>
      <c r="AA39" s="88"/>
      <c r="AM39" s="1"/>
    </row>
    <row r="40" spans="1:39" ht="15" customHeight="1" x14ac:dyDescent="0.35">
      <c r="A40" s="120" t="s">
        <v>51</v>
      </c>
      <c r="B40" s="125" t="s">
        <v>23</v>
      </c>
      <c r="C40" s="100">
        <v>48</v>
      </c>
      <c r="D40" s="92">
        <v>250</v>
      </c>
      <c r="E40" s="92">
        <f t="shared" si="46"/>
        <v>12000</v>
      </c>
      <c r="F40" s="99">
        <f t="shared" si="47"/>
        <v>7871484</v>
      </c>
      <c r="G40" s="98">
        <f t="shared" si="48"/>
        <v>5903613</v>
      </c>
      <c r="H40" s="99">
        <v>9000</v>
      </c>
      <c r="I40" s="62">
        <v>1475901</v>
      </c>
      <c r="J40" s="33">
        <f t="shared" si="49"/>
        <v>2249.9965698971123</v>
      </c>
      <c r="K40" s="31">
        <v>983934</v>
      </c>
      <c r="L40" s="63">
        <f t="shared" si="50"/>
        <v>1499.9977132647414</v>
      </c>
      <c r="M40" s="69">
        <f t="shared" si="51"/>
        <v>2459835</v>
      </c>
      <c r="N40" s="70">
        <f t="shared" si="52"/>
        <v>3749.9942831618537</v>
      </c>
      <c r="O40" s="110">
        <v>1967871</v>
      </c>
      <c r="P40" s="32">
        <f t="shared" si="53"/>
        <v>3000</v>
      </c>
      <c r="Q40" s="71">
        <v>1967868</v>
      </c>
      <c r="R40" s="74">
        <f t="shared" si="54"/>
        <v>2999.9954265294828</v>
      </c>
      <c r="S40" s="77">
        <f t="shared" si="55"/>
        <v>4427703</v>
      </c>
      <c r="T40" s="78">
        <f t="shared" si="56"/>
        <v>6749.9897096913364</v>
      </c>
      <c r="U40" s="79">
        <f t="shared" si="61"/>
        <v>3</v>
      </c>
      <c r="V40" s="42">
        <f t="shared" si="62"/>
        <v>4.5734705171223116E-3</v>
      </c>
      <c r="W40" s="49">
        <f t="shared" si="57"/>
        <v>1475910</v>
      </c>
      <c r="X40" s="33">
        <f t="shared" si="58"/>
        <v>2250.0102903086636</v>
      </c>
      <c r="Y40" s="85">
        <f t="shared" si="59"/>
        <v>0.99999847550982768</v>
      </c>
      <c r="Z40" s="85">
        <f t="shared" si="60"/>
        <v>0.74999885663237076</v>
      </c>
      <c r="AA40" s="88"/>
      <c r="AM40" s="1"/>
    </row>
    <row r="41" spans="1:39" ht="15" customHeight="1" x14ac:dyDescent="0.35">
      <c r="A41" s="120" t="s">
        <v>52</v>
      </c>
      <c r="B41" s="125" t="s">
        <v>23</v>
      </c>
      <c r="C41" s="100">
        <v>48</v>
      </c>
      <c r="D41" s="92">
        <v>305</v>
      </c>
      <c r="E41" s="92">
        <f t="shared" si="46"/>
        <v>14640</v>
      </c>
      <c r="F41" s="99">
        <f t="shared" si="47"/>
        <v>9603210.4800000004</v>
      </c>
      <c r="G41" s="98">
        <f t="shared" si="48"/>
        <v>7202407.8600000003</v>
      </c>
      <c r="H41" s="99">
        <v>10980</v>
      </c>
      <c r="I41" s="62">
        <v>3387500</v>
      </c>
      <c r="J41" s="33">
        <f t="shared" si="49"/>
        <v>5164.2104589172768</v>
      </c>
      <c r="K41" s="31">
        <v>1200000</v>
      </c>
      <c r="L41" s="63">
        <f t="shared" si="50"/>
        <v>1829.3882068489245</v>
      </c>
      <c r="M41" s="69">
        <f t="shared" si="51"/>
        <v>4587500</v>
      </c>
      <c r="N41" s="70">
        <f t="shared" si="52"/>
        <v>6993.5986657662015</v>
      </c>
      <c r="O41" s="110">
        <v>2400802.62</v>
      </c>
      <c r="P41" s="32">
        <f t="shared" si="53"/>
        <v>3660</v>
      </c>
      <c r="Q41" s="71">
        <v>2400000</v>
      </c>
      <c r="R41" s="74">
        <f t="shared" si="54"/>
        <v>3658.776413697849</v>
      </c>
      <c r="S41" s="77">
        <f t="shared" si="55"/>
        <v>6987500</v>
      </c>
      <c r="T41" s="78">
        <f t="shared" si="56"/>
        <v>10652.375079464051</v>
      </c>
      <c r="U41" s="79">
        <f t="shared" si="61"/>
        <v>802.62000000011176</v>
      </c>
      <c r="V41" s="42">
        <f t="shared" si="62"/>
        <v>1.2235863021510736</v>
      </c>
      <c r="W41" s="49">
        <f t="shared" si="57"/>
        <v>214907.86000000034</v>
      </c>
      <c r="X41" s="33">
        <f t="shared" si="58"/>
        <v>327.62492053595025</v>
      </c>
      <c r="Y41" s="85">
        <f t="shared" si="59"/>
        <v>0.99966568680269097</v>
      </c>
      <c r="Z41" s="85">
        <f t="shared" si="60"/>
        <v>0.97016166479636157</v>
      </c>
      <c r="AA41" s="88"/>
      <c r="AM41" s="1"/>
    </row>
    <row r="42" spans="1:39" ht="15" customHeight="1" x14ac:dyDescent="0.35">
      <c r="A42" s="122" t="s">
        <v>53</v>
      </c>
      <c r="B42" s="125" t="s">
        <v>54</v>
      </c>
      <c r="C42" s="100">
        <v>4</v>
      </c>
      <c r="D42" s="92">
        <v>5000</v>
      </c>
      <c r="E42" s="92">
        <f t="shared" si="46"/>
        <v>20000</v>
      </c>
      <c r="F42" s="99">
        <f t="shared" si="47"/>
        <v>13119140</v>
      </c>
      <c r="G42" s="98">
        <f t="shared" si="48"/>
        <v>9839355</v>
      </c>
      <c r="H42" s="99">
        <v>15000</v>
      </c>
      <c r="I42" s="62">
        <v>3667500</v>
      </c>
      <c r="J42" s="33">
        <f t="shared" si="49"/>
        <v>5591.0677071820255</v>
      </c>
      <c r="K42" s="31">
        <v>4106335</v>
      </c>
      <c r="L42" s="63">
        <f t="shared" si="50"/>
        <v>6260.0673519758157</v>
      </c>
      <c r="M42" s="69">
        <f t="shared" si="51"/>
        <v>7773835</v>
      </c>
      <c r="N42" s="70">
        <f t="shared" si="52"/>
        <v>11851.135059157841</v>
      </c>
      <c r="O42" s="110">
        <v>3279785</v>
      </c>
      <c r="P42" s="32">
        <f t="shared" si="53"/>
        <v>5000</v>
      </c>
      <c r="Q42" s="71">
        <v>3279000</v>
      </c>
      <c r="R42" s="74">
        <f t="shared" si="54"/>
        <v>4998.8032752146864</v>
      </c>
      <c r="S42" s="77">
        <f t="shared" si="55"/>
        <v>11052835</v>
      </c>
      <c r="T42" s="78">
        <f t="shared" si="56"/>
        <v>16849.938334372528</v>
      </c>
      <c r="U42" s="79">
        <f t="shared" si="61"/>
        <v>785</v>
      </c>
      <c r="V42" s="42">
        <f t="shared" si="62"/>
        <v>1.1967247853136715</v>
      </c>
      <c r="W42" s="49">
        <f t="shared" si="57"/>
        <v>-1213480</v>
      </c>
      <c r="X42" s="33">
        <f t="shared" si="58"/>
        <v>-1849.9383343725274</v>
      </c>
      <c r="Y42" s="85">
        <f t="shared" si="59"/>
        <v>0.99976065504293732</v>
      </c>
      <c r="Z42" s="85">
        <f t="shared" si="60"/>
        <v>1.1233292222915019</v>
      </c>
      <c r="AA42" s="88"/>
      <c r="AM42" s="1"/>
    </row>
    <row r="43" spans="1:39" ht="15" customHeight="1" x14ac:dyDescent="0.35">
      <c r="A43" s="120" t="s">
        <v>55</v>
      </c>
      <c r="B43" s="125" t="s">
        <v>23</v>
      </c>
      <c r="C43" s="100">
        <v>48</v>
      </c>
      <c r="D43" s="92">
        <v>20</v>
      </c>
      <c r="E43" s="92">
        <f t="shared" si="46"/>
        <v>960</v>
      </c>
      <c r="F43" s="99">
        <f t="shared" si="47"/>
        <v>629718.72</v>
      </c>
      <c r="G43" s="98">
        <f t="shared" si="48"/>
        <v>472289.04</v>
      </c>
      <c r="H43" s="99">
        <v>720</v>
      </c>
      <c r="I43" s="62">
        <v>86637</v>
      </c>
      <c r="J43" s="33">
        <f t="shared" si="49"/>
        <v>132.07725506397523</v>
      </c>
      <c r="K43" s="31">
        <v>344661</v>
      </c>
      <c r="L43" s="63">
        <f t="shared" si="50"/>
        <v>525.43230730063101</v>
      </c>
      <c r="M43" s="69">
        <f t="shared" si="51"/>
        <v>431298</v>
      </c>
      <c r="N43" s="70">
        <f t="shared" si="52"/>
        <v>657.50956236460627</v>
      </c>
      <c r="O43" s="110">
        <v>157429.68</v>
      </c>
      <c r="P43" s="32">
        <f t="shared" si="53"/>
        <v>240</v>
      </c>
      <c r="Q43" s="71">
        <v>406500</v>
      </c>
      <c r="R43" s="75">
        <f t="shared" si="54"/>
        <v>619.70525507007324</v>
      </c>
      <c r="S43" s="77">
        <f>+M43+Q43</f>
        <v>837798</v>
      </c>
      <c r="T43" s="78">
        <f t="shared" si="56"/>
        <v>1277.2148174346794</v>
      </c>
      <c r="U43" s="79">
        <f t="shared" si="61"/>
        <v>-249070.32</v>
      </c>
      <c r="V43" s="42">
        <f t="shared" si="62"/>
        <v>-379.70525507007318</v>
      </c>
      <c r="W43" s="49">
        <f t="shared" si="57"/>
        <v>-365508.96</v>
      </c>
      <c r="X43" s="33">
        <f t="shared" si="58"/>
        <v>-557.21481743467939</v>
      </c>
      <c r="Y43" s="85">
        <f t="shared" si="59"/>
        <v>2.5821052294586386</v>
      </c>
      <c r="Z43" s="85">
        <f t="shared" si="60"/>
        <v>1.7739094686592771</v>
      </c>
      <c r="AA43" s="88"/>
      <c r="AM43" s="1"/>
    </row>
    <row r="44" spans="1:39" ht="15" customHeight="1" x14ac:dyDescent="0.35">
      <c r="A44" s="121" t="s">
        <v>56</v>
      </c>
      <c r="B44" s="34"/>
      <c r="C44" s="25"/>
      <c r="D44" s="26"/>
      <c r="E44" s="27">
        <f>SUM(E37:E43)</f>
        <v>112400</v>
      </c>
      <c r="F44" s="35">
        <f>E44*655.957</f>
        <v>73729566.799999997</v>
      </c>
      <c r="G44" s="50">
        <f t="shared" ref="G44:N44" si="63">SUM(G37:G43)</f>
        <v>55297175.100000001</v>
      </c>
      <c r="H44" s="35">
        <f t="shared" si="63"/>
        <v>84300</v>
      </c>
      <c r="I44" s="50">
        <f t="shared" si="63"/>
        <v>16460300</v>
      </c>
      <c r="J44" s="35">
        <f t="shared" si="63"/>
        <v>25093.565584329459</v>
      </c>
      <c r="K44" s="68">
        <f t="shared" si="63"/>
        <v>11948176</v>
      </c>
      <c r="L44" s="65">
        <f t="shared" si="63"/>
        <v>18214.876889796131</v>
      </c>
      <c r="M44" s="68">
        <f t="shared" si="63"/>
        <v>28408476</v>
      </c>
      <c r="N44" s="65">
        <f t="shared" si="63"/>
        <v>43308.442474125593</v>
      </c>
      <c r="O44" s="65">
        <f t="shared" ref="O44" si="64">SUM(O37:O43)</f>
        <v>18432391.699999999</v>
      </c>
      <c r="P44" s="65">
        <f t="shared" ref="P44" si="65">SUM(P37:P43)</f>
        <v>28100</v>
      </c>
      <c r="Q44" s="76">
        <f>SUM(Q37:Q43)</f>
        <v>18679860</v>
      </c>
      <c r="R44" s="35">
        <f>SUM(R37:R43)</f>
        <v>28477.262991324125</v>
      </c>
      <c r="S44" s="76">
        <f t="shared" ref="S44:T44" si="66">SUM(S37:S43)</f>
        <v>47088336</v>
      </c>
      <c r="T44" s="35">
        <f t="shared" si="66"/>
        <v>71785.705465449719</v>
      </c>
      <c r="U44" s="76">
        <f t="shared" ref="U44:V44" si="67">SUM(U37:U43)</f>
        <v>-247468.29999999952</v>
      </c>
      <c r="V44" s="35">
        <f t="shared" si="67"/>
        <v>-377.26299132412566</v>
      </c>
      <c r="W44" s="76">
        <f>SUM(W37:W43)</f>
        <v>8208839.1000000024</v>
      </c>
      <c r="X44" s="35">
        <f>SUM(X37:X43)</f>
        <v>12514.294534550285</v>
      </c>
      <c r="Y44" s="86"/>
      <c r="Z44" s="86"/>
      <c r="AA44" s="86"/>
      <c r="AM44" s="1"/>
    </row>
    <row r="45" spans="1:39" ht="15" customHeight="1" x14ac:dyDescent="0.35">
      <c r="A45" s="121" t="s">
        <v>57</v>
      </c>
      <c r="B45" s="34"/>
      <c r="C45" s="25"/>
      <c r="D45" s="26"/>
      <c r="E45" s="27">
        <f>E26+E31+E35+E44</f>
        <v>685365</v>
      </c>
      <c r="F45" s="35">
        <f>+E45*655.957</f>
        <v>449569969.30500001</v>
      </c>
      <c r="G45" s="50">
        <f t="shared" ref="G45:N45" si="68">G26+G31+G35+G44</f>
        <v>375551781.42500007</v>
      </c>
      <c r="H45" s="35">
        <f t="shared" si="68"/>
        <v>572525</v>
      </c>
      <c r="I45" s="50">
        <f t="shared" si="68"/>
        <v>102566107</v>
      </c>
      <c r="J45" s="35">
        <f t="shared" si="68"/>
        <v>156361.02214017077</v>
      </c>
      <c r="K45" s="68">
        <f t="shared" si="68"/>
        <v>88405872.282499999</v>
      </c>
      <c r="L45" s="65">
        <f t="shared" si="68"/>
        <v>134773.88347483144</v>
      </c>
      <c r="M45" s="68">
        <f t="shared" si="68"/>
        <v>157118825.28249997</v>
      </c>
      <c r="N45" s="65">
        <f t="shared" si="68"/>
        <v>239526.10503813511</v>
      </c>
      <c r="O45" s="65">
        <f t="shared" ref="O45" si="69">O26+O31+O35+O44</f>
        <v>101720563.90399998</v>
      </c>
      <c r="P45" s="65">
        <f t="shared" ref="P45" si="70">P26+P31+P35+P44</f>
        <v>155072</v>
      </c>
      <c r="Q45" s="76">
        <f>Q26+Q31+Q35+Q44</f>
        <v>98979353.376899987</v>
      </c>
      <c r="R45" s="35">
        <f>R26+R31+R35+R44</f>
        <v>150893.05149102764</v>
      </c>
      <c r="S45" s="76">
        <f t="shared" ref="S45:T45" si="71">S26+S31+S35+S44</f>
        <v>256098178.65940002</v>
      </c>
      <c r="T45" s="35">
        <f t="shared" si="71"/>
        <v>390419.15652916266</v>
      </c>
      <c r="U45" s="76">
        <f t="shared" ref="U45:V45" si="72">U26+U31+U35+U44</f>
        <v>2741210.5271000019</v>
      </c>
      <c r="V45" s="35">
        <f t="shared" si="72"/>
        <v>4178.9485089723885</v>
      </c>
      <c r="W45" s="76">
        <f>W26+W31+W35+W44</f>
        <v>119453602.76560001</v>
      </c>
      <c r="X45" s="35">
        <f>X26+X31+X35+X44</f>
        <v>182105.84347083728</v>
      </c>
      <c r="Y45" s="86"/>
      <c r="Z45" s="86"/>
      <c r="AA45" s="86"/>
      <c r="AM45" s="1"/>
    </row>
    <row r="46" spans="1:39" s="43" customFormat="1" ht="15" customHeight="1" x14ac:dyDescent="0.35">
      <c r="A46" s="136" t="s">
        <v>76</v>
      </c>
      <c r="B46" s="103"/>
      <c r="C46" s="102"/>
      <c r="D46" s="101"/>
      <c r="E46" s="101"/>
      <c r="F46" s="104"/>
      <c r="G46" s="103"/>
      <c r="H46" s="104"/>
      <c r="I46" s="51"/>
      <c r="J46" s="52"/>
      <c r="K46" s="51"/>
      <c r="L46" s="52"/>
      <c r="M46" s="69"/>
      <c r="N46" s="69"/>
      <c r="O46" s="111"/>
      <c r="P46" s="52"/>
      <c r="Q46" s="71"/>
      <c r="R46" s="72"/>
      <c r="S46" s="77"/>
      <c r="T46" s="78"/>
      <c r="U46" s="51"/>
      <c r="V46" s="52"/>
      <c r="W46" s="51"/>
      <c r="X46" s="52"/>
      <c r="Y46" s="89"/>
      <c r="Z46" s="89"/>
      <c r="AA46" s="90"/>
    </row>
    <row r="47" spans="1:39" ht="30" customHeight="1" x14ac:dyDescent="0.35">
      <c r="A47" s="120" t="s">
        <v>77</v>
      </c>
      <c r="B47" s="125" t="s">
        <v>78</v>
      </c>
      <c r="C47" s="105">
        <v>1</v>
      </c>
      <c r="D47" s="92">
        <v>9000</v>
      </c>
      <c r="E47" s="92">
        <f t="shared" ref="E47:E60" si="73">C47*D47</f>
        <v>9000</v>
      </c>
      <c r="F47" s="99">
        <f t="shared" ref="F47:F60" si="74">E47*655.957</f>
        <v>5903613</v>
      </c>
      <c r="G47" s="98">
        <f>+H47*655.957</f>
        <v>3935742</v>
      </c>
      <c r="H47" s="99">
        <v>6000</v>
      </c>
      <c r="I47" s="49">
        <v>2985689</v>
      </c>
      <c r="J47" s="33">
        <f>+I47/655.957</f>
        <v>4551.6535382654656</v>
      </c>
      <c r="K47" s="49"/>
      <c r="L47" s="33">
        <f>+K47/655.957</f>
        <v>0</v>
      </c>
      <c r="M47" s="69">
        <f t="shared" ref="M47:M60" si="75">I47+K47</f>
        <v>2985689</v>
      </c>
      <c r="N47" s="70">
        <f t="shared" ref="N47:N60" si="76">+J47+L47</f>
        <v>4551.6535382654656</v>
      </c>
      <c r="O47" s="110">
        <v>0</v>
      </c>
      <c r="P47" s="32">
        <f t="shared" ref="P47:P60" si="77">O47/655.957</f>
        <v>0</v>
      </c>
      <c r="Q47" s="71"/>
      <c r="R47" s="74">
        <f>+Q47/655.957</f>
        <v>0</v>
      </c>
      <c r="S47" s="77">
        <f t="shared" ref="S47:S60" si="78">+M47+Q47</f>
        <v>2985689</v>
      </c>
      <c r="T47" s="78">
        <f t="shared" ref="T47:T60" si="79">+S47/655.957</f>
        <v>4551.6535382654656</v>
      </c>
      <c r="U47" s="79">
        <f t="shared" ref="U47:U60" si="80">O47-Q47</f>
        <v>0</v>
      </c>
      <c r="V47" s="42">
        <f t="shared" ref="V47:V60" si="81">U47/655.957</f>
        <v>0</v>
      </c>
      <c r="W47" s="49">
        <f t="shared" ref="W47:W60" si="82">+G47-S47</f>
        <v>950053</v>
      </c>
      <c r="X47" s="33">
        <f t="shared" ref="X47:X60" si="83">W47/655.957</f>
        <v>1448.3464617345344</v>
      </c>
      <c r="Y47" s="85" t="e">
        <f t="shared" ref="Y47:Y60" si="84">+Q47/O47</f>
        <v>#DIV/0!</v>
      </c>
      <c r="Z47" s="85">
        <f t="shared" ref="Z47:Z60" si="85">+S47/G47</f>
        <v>0.75860892304424421</v>
      </c>
      <c r="AA47" s="88"/>
      <c r="AM47" s="1"/>
    </row>
    <row r="48" spans="1:39" ht="30" customHeight="1" x14ac:dyDescent="0.35">
      <c r="A48" s="120" t="s">
        <v>79</v>
      </c>
      <c r="B48" s="125" t="s">
        <v>78</v>
      </c>
      <c r="C48" s="105">
        <v>1</v>
      </c>
      <c r="D48" s="92">
        <v>4000</v>
      </c>
      <c r="E48" s="92">
        <f t="shared" si="73"/>
        <v>4000</v>
      </c>
      <c r="F48" s="99">
        <f t="shared" si="74"/>
        <v>2623828</v>
      </c>
      <c r="G48" s="98">
        <f t="shared" ref="G48:G58" si="86">+H48*655.957</f>
        <v>2623828</v>
      </c>
      <c r="H48" s="99">
        <v>4000</v>
      </c>
      <c r="I48" s="49">
        <v>2795600</v>
      </c>
      <c r="J48" s="33">
        <f t="shared" ref="J48:J60" si="87">+I48/655.957</f>
        <v>4261.8647258890442</v>
      </c>
      <c r="K48" s="49"/>
      <c r="L48" s="33">
        <f t="shared" ref="L48:L60" si="88">+K48/655.957</f>
        <v>0</v>
      </c>
      <c r="M48" s="69">
        <f t="shared" si="75"/>
        <v>2795600</v>
      </c>
      <c r="N48" s="70">
        <f t="shared" si="76"/>
        <v>4261.8647258890442</v>
      </c>
      <c r="O48" s="110">
        <v>0</v>
      </c>
      <c r="P48" s="32">
        <f t="shared" si="77"/>
        <v>0</v>
      </c>
      <c r="Q48" s="71"/>
      <c r="R48" s="74">
        <f t="shared" ref="R48:R60" si="89">+Q48/655.957</f>
        <v>0</v>
      </c>
      <c r="S48" s="77">
        <f t="shared" si="78"/>
        <v>2795600</v>
      </c>
      <c r="T48" s="78">
        <f t="shared" si="79"/>
        <v>4261.8647258890442</v>
      </c>
      <c r="U48" s="79">
        <f t="shared" si="80"/>
        <v>0</v>
      </c>
      <c r="V48" s="42">
        <f t="shared" si="81"/>
        <v>0</v>
      </c>
      <c r="W48" s="49">
        <f t="shared" si="82"/>
        <v>-171772</v>
      </c>
      <c r="X48" s="33">
        <f t="shared" si="83"/>
        <v>-261.86472588904456</v>
      </c>
      <c r="Y48" s="85" t="e">
        <f t="shared" si="84"/>
        <v>#DIV/0!</v>
      </c>
      <c r="Z48" s="85">
        <f t="shared" si="85"/>
        <v>1.0654661814722612</v>
      </c>
      <c r="AA48" s="88"/>
      <c r="AM48" s="1"/>
    </row>
    <row r="49" spans="1:39" ht="30" customHeight="1" x14ac:dyDescent="0.35">
      <c r="A49" s="120" t="s">
        <v>80</v>
      </c>
      <c r="B49" s="125" t="s">
        <v>81</v>
      </c>
      <c r="C49" s="105">
        <v>1</v>
      </c>
      <c r="D49" s="92">
        <v>12000</v>
      </c>
      <c r="E49" s="92">
        <f t="shared" si="73"/>
        <v>12000</v>
      </c>
      <c r="F49" s="99">
        <f t="shared" si="74"/>
        <v>7871484</v>
      </c>
      <c r="G49" s="98">
        <f t="shared" si="86"/>
        <v>7871484</v>
      </c>
      <c r="H49" s="99">
        <v>12000</v>
      </c>
      <c r="I49" s="49">
        <v>6880000</v>
      </c>
      <c r="J49" s="33">
        <f t="shared" si="87"/>
        <v>10488.492385933834</v>
      </c>
      <c r="K49" s="49"/>
      <c r="L49" s="33">
        <f t="shared" si="88"/>
        <v>0</v>
      </c>
      <c r="M49" s="69">
        <f t="shared" si="75"/>
        <v>6880000</v>
      </c>
      <c r="N49" s="70">
        <f t="shared" si="76"/>
        <v>10488.492385933834</v>
      </c>
      <c r="O49" s="110">
        <v>0</v>
      </c>
      <c r="P49" s="32">
        <f t="shared" si="77"/>
        <v>0</v>
      </c>
      <c r="Q49" s="71"/>
      <c r="R49" s="74">
        <f t="shared" si="89"/>
        <v>0</v>
      </c>
      <c r="S49" s="77">
        <f t="shared" si="78"/>
        <v>6880000</v>
      </c>
      <c r="T49" s="78">
        <f t="shared" si="79"/>
        <v>10488.492385933834</v>
      </c>
      <c r="U49" s="79">
        <f t="shared" si="80"/>
        <v>0</v>
      </c>
      <c r="V49" s="42">
        <f t="shared" si="81"/>
        <v>0</v>
      </c>
      <c r="W49" s="49">
        <f t="shared" si="82"/>
        <v>991484</v>
      </c>
      <c r="X49" s="33">
        <f t="shared" si="83"/>
        <v>1511.5076140661658</v>
      </c>
      <c r="Y49" s="85" t="e">
        <f t="shared" si="84"/>
        <v>#DIV/0!</v>
      </c>
      <c r="Z49" s="85">
        <f t="shared" si="85"/>
        <v>0.87404103216115281</v>
      </c>
      <c r="AA49" s="88"/>
      <c r="AM49" s="1"/>
    </row>
    <row r="50" spans="1:39" ht="30" customHeight="1" x14ac:dyDescent="0.35">
      <c r="A50" s="120" t="s">
        <v>82</v>
      </c>
      <c r="B50" s="125" t="s">
        <v>81</v>
      </c>
      <c r="C50" s="105">
        <v>1</v>
      </c>
      <c r="D50" s="92">
        <v>7000</v>
      </c>
      <c r="E50" s="92">
        <f t="shared" si="73"/>
        <v>7000</v>
      </c>
      <c r="F50" s="99">
        <f t="shared" si="74"/>
        <v>4591699</v>
      </c>
      <c r="G50" s="98">
        <f t="shared" si="86"/>
        <v>4591699</v>
      </c>
      <c r="H50" s="99">
        <v>7000</v>
      </c>
      <c r="I50" s="49">
        <v>0</v>
      </c>
      <c r="J50" s="33">
        <f t="shared" si="87"/>
        <v>0</v>
      </c>
      <c r="K50" s="49">
        <v>0</v>
      </c>
      <c r="L50" s="33">
        <f t="shared" si="88"/>
        <v>0</v>
      </c>
      <c r="M50" s="69">
        <f t="shared" si="75"/>
        <v>0</v>
      </c>
      <c r="N50" s="70">
        <f t="shared" si="76"/>
        <v>0</v>
      </c>
      <c r="O50" s="110">
        <v>0</v>
      </c>
      <c r="P50" s="32">
        <f t="shared" si="77"/>
        <v>0</v>
      </c>
      <c r="Q50" s="71"/>
      <c r="R50" s="74">
        <f t="shared" si="89"/>
        <v>0</v>
      </c>
      <c r="S50" s="77">
        <f t="shared" si="78"/>
        <v>0</v>
      </c>
      <c r="T50" s="78">
        <f t="shared" si="79"/>
        <v>0</v>
      </c>
      <c r="U50" s="79">
        <f t="shared" si="80"/>
        <v>0</v>
      </c>
      <c r="V50" s="42">
        <f t="shared" si="81"/>
        <v>0</v>
      </c>
      <c r="W50" s="49">
        <f t="shared" si="82"/>
        <v>4591699</v>
      </c>
      <c r="X50" s="33">
        <f t="shared" si="83"/>
        <v>7000</v>
      </c>
      <c r="Y50" s="85" t="e">
        <f t="shared" si="84"/>
        <v>#DIV/0!</v>
      </c>
      <c r="Z50" s="85">
        <f t="shared" si="85"/>
        <v>0</v>
      </c>
      <c r="AA50" s="88"/>
      <c r="AM50" s="1"/>
    </row>
    <row r="51" spans="1:39" ht="26" x14ac:dyDescent="0.35">
      <c r="A51" s="120" t="s">
        <v>83</v>
      </c>
      <c r="B51" s="125" t="s">
        <v>78</v>
      </c>
      <c r="C51" s="105">
        <v>1</v>
      </c>
      <c r="D51" s="92">
        <v>4000</v>
      </c>
      <c r="E51" s="92">
        <f t="shared" si="73"/>
        <v>4000</v>
      </c>
      <c r="F51" s="99">
        <f t="shared" si="74"/>
        <v>2623828</v>
      </c>
      <c r="G51" s="98">
        <f t="shared" si="86"/>
        <v>2623828</v>
      </c>
      <c r="H51" s="99">
        <v>4000</v>
      </c>
      <c r="I51" s="49">
        <v>0</v>
      </c>
      <c r="J51" s="33">
        <f t="shared" si="87"/>
        <v>0</v>
      </c>
      <c r="K51" s="49">
        <v>655957</v>
      </c>
      <c r="L51" s="33">
        <f t="shared" si="88"/>
        <v>1000</v>
      </c>
      <c r="M51" s="69">
        <f t="shared" si="75"/>
        <v>655957</v>
      </c>
      <c r="N51" s="70">
        <f t="shared" si="76"/>
        <v>1000</v>
      </c>
      <c r="O51" s="110">
        <v>2623828</v>
      </c>
      <c r="P51" s="32">
        <f t="shared" si="77"/>
        <v>4000</v>
      </c>
      <c r="Q51" s="71"/>
      <c r="R51" s="74">
        <f t="shared" si="89"/>
        <v>0</v>
      </c>
      <c r="S51" s="77">
        <f t="shared" si="78"/>
        <v>655957</v>
      </c>
      <c r="T51" s="78">
        <f t="shared" si="79"/>
        <v>1000</v>
      </c>
      <c r="U51" s="79">
        <f t="shared" si="80"/>
        <v>2623828</v>
      </c>
      <c r="V51" s="42">
        <f t="shared" si="81"/>
        <v>4000</v>
      </c>
      <c r="W51" s="49">
        <f t="shared" si="82"/>
        <v>1967871</v>
      </c>
      <c r="X51" s="33">
        <f t="shared" si="83"/>
        <v>3000</v>
      </c>
      <c r="Y51" s="85">
        <f t="shared" si="84"/>
        <v>0</v>
      </c>
      <c r="Z51" s="85">
        <f t="shared" si="85"/>
        <v>0.25</v>
      </c>
      <c r="AA51" s="88"/>
      <c r="AM51" s="1"/>
    </row>
    <row r="52" spans="1:39" x14ac:dyDescent="0.35">
      <c r="A52" s="120" t="s">
        <v>84</v>
      </c>
      <c r="B52" s="125" t="s">
        <v>85</v>
      </c>
      <c r="C52" s="105">
        <f>2*4</f>
        <v>8</v>
      </c>
      <c r="D52" s="92">
        <v>1000</v>
      </c>
      <c r="E52" s="92">
        <f t="shared" si="73"/>
        <v>8000</v>
      </c>
      <c r="F52" s="99">
        <f t="shared" si="74"/>
        <v>5247656</v>
      </c>
      <c r="G52" s="98">
        <f t="shared" si="86"/>
        <v>5247656</v>
      </c>
      <c r="H52" s="99">
        <v>8000</v>
      </c>
      <c r="I52" s="49">
        <v>0</v>
      </c>
      <c r="J52" s="33">
        <f t="shared" si="87"/>
        <v>0</v>
      </c>
      <c r="K52" s="49">
        <v>1111550</v>
      </c>
      <c r="L52" s="33">
        <f t="shared" si="88"/>
        <v>1694.547051102435</v>
      </c>
      <c r="M52" s="69">
        <f t="shared" si="75"/>
        <v>1111550</v>
      </c>
      <c r="N52" s="70">
        <f t="shared" si="76"/>
        <v>1694.547051102435</v>
      </c>
      <c r="O52" s="110">
        <v>1311914</v>
      </c>
      <c r="P52" s="32">
        <f t="shared" si="77"/>
        <v>2000</v>
      </c>
      <c r="Q52" s="71"/>
      <c r="R52" s="74">
        <f t="shared" si="89"/>
        <v>0</v>
      </c>
      <c r="S52" s="77">
        <f t="shared" si="78"/>
        <v>1111550</v>
      </c>
      <c r="T52" s="78">
        <f t="shared" si="79"/>
        <v>1694.547051102435</v>
      </c>
      <c r="U52" s="79">
        <f t="shared" si="80"/>
        <v>1311914</v>
      </c>
      <c r="V52" s="42">
        <f t="shared" si="81"/>
        <v>2000</v>
      </c>
      <c r="W52" s="49">
        <f t="shared" si="82"/>
        <v>4136106</v>
      </c>
      <c r="X52" s="33">
        <f t="shared" si="83"/>
        <v>6305.452948897565</v>
      </c>
      <c r="Y52" s="85">
        <f t="shared" si="84"/>
        <v>0</v>
      </c>
      <c r="Z52" s="85">
        <f t="shared" si="85"/>
        <v>0.21181838138780437</v>
      </c>
      <c r="AA52" s="88"/>
      <c r="AM52" s="1"/>
    </row>
    <row r="53" spans="1:39" ht="32.25" customHeight="1" x14ac:dyDescent="0.35">
      <c r="A53" s="120" t="s">
        <v>86</v>
      </c>
      <c r="B53" s="125" t="s">
        <v>85</v>
      </c>
      <c r="C53" s="105">
        <f>2*4</f>
        <v>8</v>
      </c>
      <c r="D53" s="92">
        <v>3000</v>
      </c>
      <c r="E53" s="92">
        <f t="shared" si="73"/>
        <v>24000</v>
      </c>
      <c r="F53" s="99">
        <f t="shared" si="74"/>
        <v>15742968</v>
      </c>
      <c r="G53" s="98">
        <f t="shared" si="86"/>
        <v>15742968</v>
      </c>
      <c r="H53" s="99">
        <v>24000</v>
      </c>
      <c r="I53" s="49">
        <v>2074202</v>
      </c>
      <c r="J53" s="33">
        <f t="shared" si="87"/>
        <v>3162.1005645187111</v>
      </c>
      <c r="K53" s="49">
        <v>5332640</v>
      </c>
      <c r="L53" s="33">
        <f t="shared" si="88"/>
        <v>8129.557272809041</v>
      </c>
      <c r="M53" s="69">
        <f t="shared" si="75"/>
        <v>7406842</v>
      </c>
      <c r="N53" s="70">
        <f t="shared" si="76"/>
        <v>11291.657837327752</v>
      </c>
      <c r="O53" s="110">
        <v>3935742</v>
      </c>
      <c r="P53" s="32">
        <f t="shared" si="77"/>
        <v>6000</v>
      </c>
      <c r="Q53" s="71">
        <v>3820109.9000400002</v>
      </c>
      <c r="R53" s="75">
        <f t="shared" si="89"/>
        <v>5823.72</v>
      </c>
      <c r="S53" s="77">
        <f t="shared" si="78"/>
        <v>11226951.900040001</v>
      </c>
      <c r="T53" s="78">
        <f t="shared" si="79"/>
        <v>17115.377837327753</v>
      </c>
      <c r="U53" s="79">
        <f t="shared" si="80"/>
        <v>115632.09995999979</v>
      </c>
      <c r="V53" s="42">
        <f t="shared" si="81"/>
        <v>176.27999999999969</v>
      </c>
      <c r="W53" s="49">
        <f t="shared" si="82"/>
        <v>4516016.0999599993</v>
      </c>
      <c r="X53" s="33">
        <f t="shared" si="83"/>
        <v>6884.6221626722472</v>
      </c>
      <c r="Y53" s="85">
        <f t="shared" si="84"/>
        <v>0.97062000000000004</v>
      </c>
      <c r="Z53" s="85">
        <f t="shared" si="85"/>
        <v>0.71314074322198973</v>
      </c>
      <c r="AA53" s="88"/>
      <c r="AM53" s="1"/>
    </row>
    <row r="54" spans="1:39" ht="15" customHeight="1" x14ac:dyDescent="0.35">
      <c r="A54" s="120" t="s">
        <v>87</v>
      </c>
      <c r="B54" s="125" t="s">
        <v>81</v>
      </c>
      <c r="C54" s="105">
        <v>2</v>
      </c>
      <c r="D54" s="92">
        <v>8000</v>
      </c>
      <c r="E54" s="92">
        <f t="shared" si="73"/>
        <v>16000</v>
      </c>
      <c r="F54" s="99">
        <f t="shared" si="74"/>
        <v>10495312</v>
      </c>
      <c r="G54" s="98">
        <f t="shared" si="86"/>
        <v>10495312</v>
      </c>
      <c r="H54" s="99">
        <v>16000</v>
      </c>
      <c r="I54" s="49"/>
      <c r="J54" s="33">
        <f t="shared" si="87"/>
        <v>0</v>
      </c>
      <c r="K54" s="49">
        <v>0</v>
      </c>
      <c r="L54" s="33">
        <f t="shared" si="88"/>
        <v>0</v>
      </c>
      <c r="M54" s="69">
        <f t="shared" si="75"/>
        <v>0</v>
      </c>
      <c r="N54" s="70">
        <f t="shared" si="76"/>
        <v>0</v>
      </c>
      <c r="O54" s="110">
        <v>0</v>
      </c>
      <c r="P54" s="32">
        <f t="shared" si="77"/>
        <v>0</v>
      </c>
      <c r="Q54" s="71">
        <v>4300000</v>
      </c>
      <c r="R54" s="74">
        <f t="shared" si="89"/>
        <v>6555.3077412086468</v>
      </c>
      <c r="S54" s="77">
        <f t="shared" si="78"/>
        <v>4300000</v>
      </c>
      <c r="T54" s="78">
        <f t="shared" si="79"/>
        <v>6555.3077412086468</v>
      </c>
      <c r="U54" s="79">
        <f t="shared" si="80"/>
        <v>-4300000</v>
      </c>
      <c r="V54" s="42">
        <f t="shared" si="81"/>
        <v>-6555.3077412086468</v>
      </c>
      <c r="W54" s="49">
        <f t="shared" si="82"/>
        <v>6195312</v>
      </c>
      <c r="X54" s="33">
        <f t="shared" si="83"/>
        <v>9444.6922587913541</v>
      </c>
      <c r="Y54" s="85" t="e">
        <f t="shared" si="84"/>
        <v>#DIV/0!</v>
      </c>
      <c r="Z54" s="85">
        <f t="shared" si="85"/>
        <v>0.4097067338255404</v>
      </c>
      <c r="AA54" s="88"/>
      <c r="AM54" s="1"/>
    </row>
    <row r="55" spans="1:39" ht="16.5" customHeight="1" x14ac:dyDescent="0.35">
      <c r="A55" s="120" t="s">
        <v>88</v>
      </c>
      <c r="B55" s="125" t="s">
        <v>89</v>
      </c>
      <c r="C55" s="105">
        <v>4</v>
      </c>
      <c r="D55" s="92">
        <v>5000</v>
      </c>
      <c r="E55" s="92">
        <f t="shared" si="73"/>
        <v>20000</v>
      </c>
      <c r="F55" s="99">
        <f t="shared" si="74"/>
        <v>13119140</v>
      </c>
      <c r="G55" s="98">
        <f t="shared" si="86"/>
        <v>13119140</v>
      </c>
      <c r="H55" s="99">
        <v>20000</v>
      </c>
      <c r="I55" s="49"/>
      <c r="J55" s="33">
        <f t="shared" si="87"/>
        <v>0</v>
      </c>
      <c r="K55" s="49">
        <v>3250000</v>
      </c>
      <c r="L55" s="33">
        <f t="shared" si="88"/>
        <v>4954.5930602158378</v>
      </c>
      <c r="M55" s="69">
        <f t="shared" si="75"/>
        <v>3250000</v>
      </c>
      <c r="N55" s="70">
        <f t="shared" si="76"/>
        <v>4954.5930602158378</v>
      </c>
      <c r="O55" s="110">
        <v>3279785</v>
      </c>
      <c r="P55" s="32">
        <f t="shared" si="77"/>
        <v>5000</v>
      </c>
      <c r="Q55" s="71">
        <v>3835000</v>
      </c>
      <c r="R55" s="74">
        <f t="shared" si="89"/>
        <v>5846.4198110546877</v>
      </c>
      <c r="S55" s="77">
        <f t="shared" si="78"/>
        <v>7085000</v>
      </c>
      <c r="T55" s="78">
        <f t="shared" si="79"/>
        <v>10801.012871270525</v>
      </c>
      <c r="U55" s="79">
        <f t="shared" si="80"/>
        <v>-555215</v>
      </c>
      <c r="V55" s="42">
        <f t="shared" si="81"/>
        <v>-846.41981105468801</v>
      </c>
      <c r="W55" s="49">
        <f t="shared" si="82"/>
        <v>6034140</v>
      </c>
      <c r="X55" s="33">
        <f t="shared" si="83"/>
        <v>9198.9871287294754</v>
      </c>
      <c r="Y55" s="85">
        <f t="shared" si="84"/>
        <v>1.1692839622109377</v>
      </c>
      <c r="Z55" s="85">
        <f t="shared" si="85"/>
        <v>0.54005064356352628</v>
      </c>
      <c r="AA55" s="88"/>
      <c r="AM55" s="1"/>
    </row>
    <row r="56" spans="1:39" ht="15" customHeight="1" x14ac:dyDescent="0.35">
      <c r="A56" s="120" t="s">
        <v>90</v>
      </c>
      <c r="B56" s="125" t="s">
        <v>54</v>
      </c>
      <c r="C56" s="105">
        <v>4</v>
      </c>
      <c r="D56" s="92">
        <v>2500</v>
      </c>
      <c r="E56" s="92">
        <f t="shared" si="73"/>
        <v>10000</v>
      </c>
      <c r="F56" s="99">
        <f t="shared" si="74"/>
        <v>6559570</v>
      </c>
      <c r="G56" s="98">
        <f t="shared" si="86"/>
        <v>6559570</v>
      </c>
      <c r="H56" s="99">
        <v>10000</v>
      </c>
      <c r="I56" s="49">
        <v>0</v>
      </c>
      <c r="J56" s="33">
        <f t="shared" si="87"/>
        <v>0</v>
      </c>
      <c r="K56" s="49">
        <v>5265916</v>
      </c>
      <c r="L56" s="33">
        <f t="shared" si="88"/>
        <v>8027.8371905475515</v>
      </c>
      <c r="M56" s="69">
        <f t="shared" si="75"/>
        <v>5265916</v>
      </c>
      <c r="N56" s="70">
        <f t="shared" si="76"/>
        <v>8027.8371905475515</v>
      </c>
      <c r="O56" s="110">
        <v>1639892.5</v>
      </c>
      <c r="P56" s="32">
        <f t="shared" si="77"/>
        <v>2500</v>
      </c>
      <c r="Q56" s="71">
        <v>1600000</v>
      </c>
      <c r="R56" s="74">
        <f t="shared" si="89"/>
        <v>2439.184275798566</v>
      </c>
      <c r="S56" s="77">
        <f t="shared" si="78"/>
        <v>6865916</v>
      </c>
      <c r="T56" s="78">
        <f t="shared" si="79"/>
        <v>10467.021466346117</v>
      </c>
      <c r="U56" s="79">
        <f t="shared" si="80"/>
        <v>39892.5</v>
      </c>
      <c r="V56" s="42">
        <f t="shared" si="81"/>
        <v>60.815724201433937</v>
      </c>
      <c r="W56" s="49">
        <f t="shared" si="82"/>
        <v>-306346</v>
      </c>
      <c r="X56" s="33">
        <f t="shared" si="83"/>
        <v>-467.02146634611722</v>
      </c>
      <c r="Y56" s="85">
        <f t="shared" si="84"/>
        <v>0.9756737103194264</v>
      </c>
      <c r="Z56" s="85">
        <f t="shared" si="85"/>
        <v>1.0467021466346118</v>
      </c>
      <c r="AA56" s="88"/>
      <c r="AM56" s="1"/>
    </row>
    <row r="57" spans="1:39" ht="15" customHeight="1" x14ac:dyDescent="0.35">
      <c r="A57" s="120" t="s">
        <v>91</v>
      </c>
      <c r="B57" s="125" t="s">
        <v>78</v>
      </c>
      <c r="C57" s="105">
        <v>1</v>
      </c>
      <c r="D57" s="92">
        <v>5000</v>
      </c>
      <c r="E57" s="92">
        <f t="shared" si="73"/>
        <v>5000</v>
      </c>
      <c r="F57" s="99">
        <f t="shared" si="74"/>
        <v>3279785</v>
      </c>
      <c r="G57" s="98">
        <f>+F57</f>
        <v>3279785</v>
      </c>
      <c r="H57" s="99">
        <f>+G57/655.957</f>
        <v>5000</v>
      </c>
      <c r="I57" s="49"/>
      <c r="J57" s="33">
        <f t="shared" si="87"/>
        <v>0</v>
      </c>
      <c r="K57" s="49"/>
      <c r="L57" s="33">
        <f t="shared" si="88"/>
        <v>0</v>
      </c>
      <c r="M57" s="69">
        <f t="shared" si="75"/>
        <v>0</v>
      </c>
      <c r="N57" s="70">
        <f t="shared" si="76"/>
        <v>0</v>
      </c>
      <c r="O57" s="110">
        <v>0</v>
      </c>
      <c r="P57" s="32">
        <f t="shared" si="77"/>
        <v>0</v>
      </c>
      <c r="Q57" s="71"/>
      <c r="R57" s="74">
        <f t="shared" si="89"/>
        <v>0</v>
      </c>
      <c r="S57" s="77">
        <f t="shared" si="78"/>
        <v>0</v>
      </c>
      <c r="T57" s="78">
        <f t="shared" si="79"/>
        <v>0</v>
      </c>
      <c r="U57" s="79">
        <f t="shared" si="80"/>
        <v>0</v>
      </c>
      <c r="V57" s="42">
        <f t="shared" si="81"/>
        <v>0</v>
      </c>
      <c r="W57" s="49">
        <f t="shared" si="82"/>
        <v>3279785</v>
      </c>
      <c r="X57" s="33">
        <f t="shared" si="83"/>
        <v>5000</v>
      </c>
      <c r="Y57" s="85" t="e">
        <f t="shared" si="84"/>
        <v>#DIV/0!</v>
      </c>
      <c r="Z57" s="85">
        <f t="shared" si="85"/>
        <v>0</v>
      </c>
      <c r="AA57" s="88"/>
      <c r="AM57" s="1"/>
    </row>
    <row r="58" spans="1:39" ht="15" customHeight="1" x14ac:dyDescent="0.35">
      <c r="A58" s="120" t="s">
        <v>92</v>
      </c>
      <c r="B58" s="125" t="s">
        <v>23</v>
      </c>
      <c r="C58" s="105">
        <v>48</v>
      </c>
      <c r="D58" s="92">
        <f>300000/655.957</f>
        <v>457.34705171223112</v>
      </c>
      <c r="E58" s="92">
        <f t="shared" si="73"/>
        <v>21952.658482187093</v>
      </c>
      <c r="F58" s="99">
        <f t="shared" si="74"/>
        <v>14399999.999999998</v>
      </c>
      <c r="G58" s="98">
        <f t="shared" si="86"/>
        <v>14399999.999999998</v>
      </c>
      <c r="H58" s="99">
        <v>21952.658482187093</v>
      </c>
      <c r="I58" s="49">
        <v>2089395</v>
      </c>
      <c r="J58" s="33">
        <f t="shared" si="87"/>
        <v>3185.2621437075904</v>
      </c>
      <c r="K58" s="49">
        <v>599540</v>
      </c>
      <c r="L58" s="33">
        <f t="shared" si="88"/>
        <v>913.99283794517021</v>
      </c>
      <c r="M58" s="69">
        <f t="shared" si="75"/>
        <v>2688935</v>
      </c>
      <c r="N58" s="70">
        <f t="shared" si="76"/>
        <v>4099.2549816527608</v>
      </c>
      <c r="O58" s="110">
        <v>0</v>
      </c>
      <c r="P58" s="32">
        <f t="shared" si="77"/>
        <v>0</v>
      </c>
      <c r="Q58" s="71"/>
      <c r="R58" s="74">
        <f t="shared" si="89"/>
        <v>0</v>
      </c>
      <c r="S58" s="77">
        <f t="shared" si="78"/>
        <v>2688935</v>
      </c>
      <c r="T58" s="78">
        <f t="shared" si="79"/>
        <v>4099.2549816527608</v>
      </c>
      <c r="U58" s="79">
        <f t="shared" si="80"/>
        <v>0</v>
      </c>
      <c r="V58" s="42">
        <f t="shared" si="81"/>
        <v>0</v>
      </c>
      <c r="W58" s="49">
        <f t="shared" si="82"/>
        <v>11711064.999999998</v>
      </c>
      <c r="X58" s="33">
        <f t="shared" si="83"/>
        <v>17853.403500534332</v>
      </c>
      <c r="Y58" s="85" t="e">
        <f t="shared" si="84"/>
        <v>#DIV/0!</v>
      </c>
      <c r="Z58" s="85">
        <f t="shared" si="85"/>
        <v>0.18673159722222224</v>
      </c>
      <c r="AA58" s="88"/>
      <c r="AM58" s="1"/>
    </row>
    <row r="59" spans="1:39" ht="21.5" customHeight="1" x14ac:dyDescent="0.35">
      <c r="A59" s="120" t="s">
        <v>93</v>
      </c>
      <c r="B59" s="125" t="s">
        <v>94</v>
      </c>
      <c r="C59" s="105">
        <v>1</v>
      </c>
      <c r="D59" s="92">
        <v>75000</v>
      </c>
      <c r="E59" s="92">
        <f t="shared" si="73"/>
        <v>75000</v>
      </c>
      <c r="F59" s="99">
        <f t="shared" si="74"/>
        <v>49196775</v>
      </c>
      <c r="G59" s="98">
        <f>+F59</f>
        <v>49196775</v>
      </c>
      <c r="H59" s="99">
        <f>+G59/655.957</f>
        <v>75000</v>
      </c>
      <c r="I59" s="49">
        <v>26766718</v>
      </c>
      <c r="J59" s="33">
        <f t="shared" si="87"/>
        <v>40805.598537709026</v>
      </c>
      <c r="K59" s="49">
        <v>19686715</v>
      </c>
      <c r="L59" s="33">
        <f t="shared" si="88"/>
        <v>30012.203543829855</v>
      </c>
      <c r="M59" s="69">
        <f t="shared" si="75"/>
        <v>46453433</v>
      </c>
      <c r="N59" s="70">
        <f t="shared" si="76"/>
        <v>70817.802081538888</v>
      </c>
      <c r="O59" s="110">
        <v>0</v>
      </c>
      <c r="P59" s="32">
        <f t="shared" si="77"/>
        <v>0</v>
      </c>
      <c r="Q59" s="71"/>
      <c r="R59" s="74">
        <f t="shared" si="89"/>
        <v>0</v>
      </c>
      <c r="S59" s="77">
        <f t="shared" si="78"/>
        <v>46453433</v>
      </c>
      <c r="T59" s="78">
        <f t="shared" si="79"/>
        <v>70817.802081538888</v>
      </c>
      <c r="U59" s="79">
        <f t="shared" si="80"/>
        <v>0</v>
      </c>
      <c r="V59" s="42">
        <f t="shared" si="81"/>
        <v>0</v>
      </c>
      <c r="W59" s="49">
        <f t="shared" si="82"/>
        <v>2743342</v>
      </c>
      <c r="X59" s="33">
        <f t="shared" si="83"/>
        <v>4182.1979184611191</v>
      </c>
      <c r="Y59" s="85" t="e">
        <f t="shared" si="84"/>
        <v>#DIV/0!</v>
      </c>
      <c r="Z59" s="85">
        <f t="shared" si="85"/>
        <v>0.94423736108718503</v>
      </c>
      <c r="AA59" s="88"/>
      <c r="AM59" s="1"/>
    </row>
    <row r="60" spans="1:39" x14ac:dyDescent="0.35">
      <c r="A60" s="120" t="s">
        <v>95</v>
      </c>
      <c r="B60" s="125" t="s">
        <v>96</v>
      </c>
      <c r="C60" s="105">
        <v>0</v>
      </c>
      <c r="D60" s="106">
        <v>3100</v>
      </c>
      <c r="E60" s="92">
        <f t="shared" si="73"/>
        <v>0</v>
      </c>
      <c r="F60" s="99">
        <f t="shared" si="74"/>
        <v>0</v>
      </c>
      <c r="G60" s="98">
        <v>0</v>
      </c>
      <c r="H60" s="99">
        <v>0</v>
      </c>
      <c r="I60" s="49"/>
      <c r="J60" s="33">
        <f t="shared" si="87"/>
        <v>0</v>
      </c>
      <c r="K60" s="49">
        <v>5200000</v>
      </c>
      <c r="L60" s="33">
        <f t="shared" si="88"/>
        <v>7927.3488963453401</v>
      </c>
      <c r="M60" s="69">
        <f t="shared" si="75"/>
        <v>5200000</v>
      </c>
      <c r="N60" s="70">
        <f t="shared" si="76"/>
        <v>7927.3488963453401</v>
      </c>
      <c r="O60" s="110">
        <v>3306023.28</v>
      </c>
      <c r="P60" s="32">
        <f t="shared" si="77"/>
        <v>5040</v>
      </c>
      <c r="Q60" s="71">
        <f>2459216+520000</f>
        <v>2979216</v>
      </c>
      <c r="R60" s="74">
        <f t="shared" si="89"/>
        <v>4541.7855133796884</v>
      </c>
      <c r="S60" s="77">
        <f t="shared" si="78"/>
        <v>8179216</v>
      </c>
      <c r="T60" s="78">
        <f t="shared" si="79"/>
        <v>12469.134409725028</v>
      </c>
      <c r="U60" s="79">
        <f t="shared" si="80"/>
        <v>326807.2799999998</v>
      </c>
      <c r="V60" s="42">
        <f t="shared" si="81"/>
        <v>498.21448662031167</v>
      </c>
      <c r="W60" s="49">
        <f t="shared" si="82"/>
        <v>-8179216</v>
      </c>
      <c r="X60" s="33">
        <f t="shared" si="83"/>
        <v>-12469.134409725028</v>
      </c>
      <c r="Y60" s="85">
        <f t="shared" si="84"/>
        <v>0.90114791932136673</v>
      </c>
      <c r="Z60" s="85" t="e">
        <f t="shared" si="85"/>
        <v>#DIV/0!</v>
      </c>
      <c r="AA60" s="88"/>
      <c r="AM60" s="1"/>
    </row>
    <row r="61" spans="1:39" s="28" customFormat="1" x14ac:dyDescent="0.35">
      <c r="A61" s="137" t="s">
        <v>97</v>
      </c>
      <c r="B61" s="126"/>
      <c r="C61" s="38"/>
      <c r="D61" s="37"/>
      <c r="E61" s="39">
        <f>SUM(E47:E60)</f>
        <v>215952.65848218708</v>
      </c>
      <c r="F61" s="54">
        <f>SUM(F47:F60)</f>
        <v>141655658</v>
      </c>
      <c r="G61" s="53">
        <f>SUM(G47:G60)</f>
        <v>139687787</v>
      </c>
      <c r="H61" s="54">
        <f>SUM(H47:H60)</f>
        <v>212952.65848218708</v>
      </c>
      <c r="I61" s="133">
        <f t="shared" ref="I61:Z61" si="90">SUM(I47:I60)</f>
        <v>43591604</v>
      </c>
      <c r="J61" s="54">
        <f t="shared" si="90"/>
        <v>66454.971896023664</v>
      </c>
      <c r="K61" s="54">
        <f>SUM(K47:K60)</f>
        <v>41102318</v>
      </c>
      <c r="L61" s="54">
        <f t="shared" si="90"/>
        <v>62660.079852795228</v>
      </c>
      <c r="M61" s="54">
        <f t="shared" si="90"/>
        <v>84693922</v>
      </c>
      <c r="N61" s="54">
        <f t="shared" si="90"/>
        <v>129115.05174881891</v>
      </c>
      <c r="O61" s="112">
        <f t="shared" si="90"/>
        <v>16097184.779999999</v>
      </c>
      <c r="P61" s="54">
        <f t="shared" si="90"/>
        <v>24540</v>
      </c>
      <c r="Q61" s="54">
        <f>SUM(Q47:Q60)</f>
        <v>16534325.900040001</v>
      </c>
      <c r="R61" s="54">
        <f t="shared" si="90"/>
        <v>25206.417341441589</v>
      </c>
      <c r="S61" s="54">
        <f t="shared" si="90"/>
        <v>101228247.90004</v>
      </c>
      <c r="T61" s="54">
        <f t="shared" si="90"/>
        <v>154321.46909026051</v>
      </c>
      <c r="U61" s="54">
        <f t="shared" si="90"/>
        <v>-437141.12004000042</v>
      </c>
      <c r="V61" s="54">
        <f t="shared" si="90"/>
        <v>-666.41734144158954</v>
      </c>
      <c r="W61" s="54">
        <f t="shared" si="90"/>
        <v>38459539.099959999</v>
      </c>
      <c r="X61" s="54">
        <f t="shared" si="90"/>
        <v>58631.1893919266</v>
      </c>
      <c r="Y61" s="54" t="e">
        <f t="shared" si="90"/>
        <v>#DIV/0!</v>
      </c>
      <c r="Z61" s="54" t="e">
        <f t="shared" si="90"/>
        <v>#DIV/0!</v>
      </c>
      <c r="AA61" s="54"/>
    </row>
    <row r="62" spans="1:39" s="43" customFormat="1" ht="26" customHeight="1" x14ac:dyDescent="0.35">
      <c r="A62" s="55" t="s">
        <v>98</v>
      </c>
      <c r="B62" s="55"/>
      <c r="C62" s="45"/>
      <c r="D62" s="45"/>
      <c r="E62" s="45"/>
      <c r="F62" s="127"/>
      <c r="G62" s="55"/>
      <c r="H62" s="56"/>
      <c r="I62" s="51"/>
      <c r="J62" s="52"/>
      <c r="K62" s="51"/>
      <c r="L62" s="52"/>
      <c r="M62" s="69"/>
      <c r="N62" s="69"/>
      <c r="O62" s="111"/>
      <c r="P62" s="52"/>
      <c r="Q62" s="71"/>
      <c r="R62" s="72"/>
      <c r="S62" s="77"/>
      <c r="T62" s="78"/>
      <c r="U62" s="51"/>
      <c r="V62" s="52"/>
      <c r="W62" s="51"/>
      <c r="X62" s="52"/>
      <c r="Y62" s="89"/>
      <c r="Z62" s="89"/>
      <c r="AA62" s="88"/>
    </row>
    <row r="63" spans="1:39" ht="26" x14ac:dyDescent="0.35">
      <c r="A63" s="120" t="s">
        <v>99</v>
      </c>
      <c r="B63" s="125" t="s">
        <v>96</v>
      </c>
      <c r="C63" s="105">
        <v>1</v>
      </c>
      <c r="D63" s="106">
        <v>50000</v>
      </c>
      <c r="E63" s="92">
        <f t="shared" ref="E63:E70" si="91">C63*D63</f>
        <v>50000</v>
      </c>
      <c r="F63" s="99">
        <f t="shared" ref="F63:F70" si="92">E63*655.957</f>
        <v>32797850</v>
      </c>
      <c r="G63" s="98">
        <f>+F63</f>
        <v>32797850</v>
      </c>
      <c r="H63" s="99">
        <f>+G63/655.957</f>
        <v>50000</v>
      </c>
      <c r="I63" s="49">
        <v>40685595</v>
      </c>
      <c r="J63" s="33">
        <f t="shared" ref="J63:J71" si="93">+I63/655.957</f>
        <v>62024.789734692975</v>
      </c>
      <c r="K63" s="49"/>
      <c r="L63" s="33">
        <f t="shared" ref="L63:L71" si="94">+K63/655.957</f>
        <v>0</v>
      </c>
      <c r="M63" s="69">
        <f t="shared" ref="M63:M71" si="95">I63+K63</f>
        <v>40685595</v>
      </c>
      <c r="N63" s="70">
        <f t="shared" ref="N63:N71" si="96">+J63+L63</f>
        <v>62024.789734692975</v>
      </c>
      <c r="O63" s="110">
        <v>0</v>
      </c>
      <c r="P63" s="32">
        <f t="shared" ref="P63:P71" si="97">O63/655.957</f>
        <v>0</v>
      </c>
      <c r="Q63" s="71"/>
      <c r="R63" s="74">
        <f t="shared" ref="R63:R71" si="98">+Q63/655.957</f>
        <v>0</v>
      </c>
      <c r="S63" s="77">
        <f t="shared" ref="S63:S71" si="99">+M63+Q63</f>
        <v>40685595</v>
      </c>
      <c r="T63" s="78">
        <f t="shared" ref="T63:T71" si="100">+S63/655.957</f>
        <v>62024.789734692975</v>
      </c>
      <c r="U63" s="79">
        <f t="shared" ref="U63:U71" si="101">O63-Q63</f>
        <v>0</v>
      </c>
      <c r="V63" s="42">
        <f t="shared" ref="V63:V71" si="102">U63/655.957</f>
        <v>0</v>
      </c>
      <c r="W63" s="49">
        <f t="shared" ref="W63:W71" si="103">+G63-S63</f>
        <v>-7887745</v>
      </c>
      <c r="X63" s="33">
        <f t="shared" ref="X63:X71" si="104">W63/655.957</f>
        <v>-12024.789734692975</v>
      </c>
      <c r="Y63" s="85" t="e">
        <f t="shared" ref="Y63:Y71" si="105">+Q63/O63</f>
        <v>#DIV/0!</v>
      </c>
      <c r="Z63" s="85">
        <f t="shared" ref="Z63:Z71" si="106">+S63/G63</f>
        <v>1.2404957946938595</v>
      </c>
      <c r="AA63" s="88"/>
      <c r="AM63" s="1"/>
    </row>
    <row r="64" spans="1:39" ht="26" x14ac:dyDescent="0.35">
      <c r="A64" s="120" t="s">
        <v>100</v>
      </c>
      <c r="B64" s="125" t="s">
        <v>96</v>
      </c>
      <c r="C64" s="105">
        <v>1</v>
      </c>
      <c r="D64" s="106">
        <v>27000</v>
      </c>
      <c r="E64" s="92">
        <f t="shared" si="91"/>
        <v>27000</v>
      </c>
      <c r="F64" s="99">
        <f t="shared" si="92"/>
        <v>17710839</v>
      </c>
      <c r="G64" s="98">
        <f t="shared" ref="G64:G71" si="107">+H64*655.957</f>
        <v>17710839</v>
      </c>
      <c r="H64" s="99">
        <v>27000</v>
      </c>
      <c r="I64" s="49"/>
      <c r="J64" s="33">
        <f t="shared" si="93"/>
        <v>0</v>
      </c>
      <c r="K64" s="49">
        <v>20781000</v>
      </c>
      <c r="L64" s="33">
        <f t="shared" si="94"/>
        <v>31680.430272106252</v>
      </c>
      <c r="M64" s="69">
        <f t="shared" si="95"/>
        <v>20781000</v>
      </c>
      <c r="N64" s="70">
        <f t="shared" si="96"/>
        <v>31680.430272106252</v>
      </c>
      <c r="O64" s="110">
        <v>8855419.5</v>
      </c>
      <c r="P64" s="32">
        <f t="shared" si="97"/>
        <v>13500</v>
      </c>
      <c r="Q64" s="71">
        <v>7882100</v>
      </c>
      <c r="R64" s="74">
        <f t="shared" si="98"/>
        <v>12016.183987669923</v>
      </c>
      <c r="S64" s="77">
        <f t="shared" si="99"/>
        <v>28663100</v>
      </c>
      <c r="T64" s="78">
        <f t="shared" si="100"/>
        <v>43696.614259776172</v>
      </c>
      <c r="U64" s="79">
        <f t="shared" si="101"/>
        <v>973319.5</v>
      </c>
      <c r="V64" s="42">
        <f t="shared" si="102"/>
        <v>1483.8160123300765</v>
      </c>
      <c r="W64" s="49">
        <f t="shared" si="103"/>
        <v>-10952261</v>
      </c>
      <c r="X64" s="33">
        <f t="shared" si="104"/>
        <v>-16696.614259776175</v>
      </c>
      <c r="Y64" s="85">
        <f t="shared" si="105"/>
        <v>0.89008770279036475</v>
      </c>
      <c r="Z64" s="85">
        <f t="shared" si="106"/>
        <v>1.6183931207324509</v>
      </c>
      <c r="AA64" s="88"/>
      <c r="AM64" s="1"/>
    </row>
    <row r="65" spans="1:39" ht="26" x14ac:dyDescent="0.35">
      <c r="A65" s="120" t="s">
        <v>101</v>
      </c>
      <c r="B65" s="125" t="s">
        <v>96</v>
      </c>
      <c r="C65" s="105">
        <v>1</v>
      </c>
      <c r="D65" s="106">
        <v>27000</v>
      </c>
      <c r="E65" s="92">
        <f t="shared" si="91"/>
        <v>27000</v>
      </c>
      <c r="F65" s="99">
        <f t="shared" si="92"/>
        <v>17710839</v>
      </c>
      <c r="G65" s="98">
        <f t="shared" si="107"/>
        <v>0</v>
      </c>
      <c r="H65" s="99"/>
      <c r="I65" s="49">
        <v>877660</v>
      </c>
      <c r="J65" s="33">
        <f t="shared" si="93"/>
        <v>1337.9840446858559</v>
      </c>
      <c r="K65" s="49"/>
      <c r="L65" s="33">
        <f t="shared" si="94"/>
        <v>0</v>
      </c>
      <c r="M65" s="69">
        <f t="shared" si="95"/>
        <v>877660</v>
      </c>
      <c r="N65" s="70">
        <f t="shared" si="96"/>
        <v>1337.9840446858559</v>
      </c>
      <c r="O65" s="110">
        <v>0</v>
      </c>
      <c r="P65" s="32">
        <f t="shared" si="97"/>
        <v>0</v>
      </c>
      <c r="Q65" s="71"/>
      <c r="R65" s="74">
        <f t="shared" si="98"/>
        <v>0</v>
      </c>
      <c r="S65" s="77">
        <f t="shared" si="99"/>
        <v>877660</v>
      </c>
      <c r="T65" s="78">
        <f t="shared" si="100"/>
        <v>1337.9840446858559</v>
      </c>
      <c r="U65" s="79">
        <f t="shared" si="101"/>
        <v>0</v>
      </c>
      <c r="V65" s="42">
        <f t="shared" si="102"/>
        <v>0</v>
      </c>
      <c r="W65" s="49">
        <f t="shared" si="103"/>
        <v>-877660</v>
      </c>
      <c r="X65" s="33">
        <f t="shared" si="104"/>
        <v>-1337.9840446858559</v>
      </c>
      <c r="Y65" s="85" t="e">
        <f t="shared" si="105"/>
        <v>#DIV/0!</v>
      </c>
      <c r="Z65" s="85" t="e">
        <f t="shared" si="106"/>
        <v>#DIV/0!</v>
      </c>
      <c r="AA65" s="88"/>
    </row>
    <row r="66" spans="1:39" ht="26" x14ac:dyDescent="0.35">
      <c r="A66" s="120" t="s">
        <v>102</v>
      </c>
      <c r="B66" s="125" t="s">
        <v>96</v>
      </c>
      <c r="C66" s="105">
        <v>1</v>
      </c>
      <c r="D66" s="106">
        <v>40000</v>
      </c>
      <c r="E66" s="92">
        <f t="shared" si="91"/>
        <v>40000</v>
      </c>
      <c r="F66" s="99">
        <f t="shared" si="92"/>
        <v>26238280</v>
      </c>
      <c r="G66" s="98">
        <f t="shared" si="107"/>
        <v>26238280</v>
      </c>
      <c r="H66" s="99">
        <v>40000</v>
      </c>
      <c r="I66" s="49"/>
      <c r="J66" s="33">
        <f t="shared" si="93"/>
        <v>0</v>
      </c>
      <c r="K66" s="49">
        <v>13094770</v>
      </c>
      <c r="L66" s="33">
        <f t="shared" si="94"/>
        <v>19962.848174499242</v>
      </c>
      <c r="M66" s="69">
        <f t="shared" si="95"/>
        <v>13094770</v>
      </c>
      <c r="N66" s="70">
        <f t="shared" si="96"/>
        <v>19962.848174499242</v>
      </c>
      <c r="O66" s="110">
        <v>13119140</v>
      </c>
      <c r="P66" s="32">
        <f t="shared" si="97"/>
        <v>20000</v>
      </c>
      <c r="Q66" s="71">
        <v>10180207</v>
      </c>
      <c r="R66" s="74">
        <f t="shared" si="98"/>
        <v>15519.625524234058</v>
      </c>
      <c r="S66" s="77">
        <f t="shared" si="99"/>
        <v>23274977</v>
      </c>
      <c r="T66" s="78">
        <f t="shared" si="100"/>
        <v>35482.473698733302</v>
      </c>
      <c r="U66" s="79">
        <f t="shared" si="101"/>
        <v>2938933</v>
      </c>
      <c r="V66" s="42">
        <f t="shared" si="102"/>
        <v>4480.3744757659424</v>
      </c>
      <c r="W66" s="49">
        <f t="shared" si="103"/>
        <v>2963303</v>
      </c>
      <c r="X66" s="33">
        <f t="shared" si="104"/>
        <v>4517.5263012666992</v>
      </c>
      <c r="Y66" s="85">
        <f t="shared" si="105"/>
        <v>0.77598127621170288</v>
      </c>
      <c r="Z66" s="85">
        <f t="shared" si="106"/>
        <v>0.88706184246833253</v>
      </c>
      <c r="AA66" s="88"/>
    </row>
    <row r="67" spans="1:39" ht="39" x14ac:dyDescent="0.35">
      <c r="A67" s="120" t="s">
        <v>103</v>
      </c>
      <c r="B67" s="125" t="s">
        <v>96</v>
      </c>
      <c r="C67" s="105">
        <v>1</v>
      </c>
      <c r="D67" s="106">
        <v>35000</v>
      </c>
      <c r="E67" s="92">
        <f t="shared" si="91"/>
        <v>35000</v>
      </c>
      <c r="F67" s="99">
        <f t="shared" si="92"/>
        <v>22958495</v>
      </c>
      <c r="G67" s="98">
        <f t="shared" si="107"/>
        <v>22958495</v>
      </c>
      <c r="H67" s="99">
        <v>35000</v>
      </c>
      <c r="I67" s="49">
        <f>2651800</f>
        <v>2651800</v>
      </c>
      <c r="J67" s="33">
        <f t="shared" si="93"/>
        <v>4042.6430391016484</v>
      </c>
      <c r="K67" s="49">
        <v>29586830</v>
      </c>
      <c r="L67" s="33">
        <f t="shared" si="94"/>
        <v>45104.831566703302</v>
      </c>
      <c r="M67" s="69">
        <f t="shared" si="95"/>
        <v>32238630</v>
      </c>
      <c r="N67" s="70">
        <f t="shared" si="96"/>
        <v>49147.47460580495</v>
      </c>
      <c r="O67" s="110">
        <v>13775097</v>
      </c>
      <c r="P67" s="32">
        <f t="shared" si="97"/>
        <v>21000</v>
      </c>
      <c r="Q67" s="71">
        <v>12815260</v>
      </c>
      <c r="R67" s="74">
        <f t="shared" si="98"/>
        <v>19536.737926418959</v>
      </c>
      <c r="S67" s="77">
        <f t="shared" si="99"/>
        <v>45053890</v>
      </c>
      <c r="T67" s="78">
        <f t="shared" si="100"/>
        <v>68684.212532223915</v>
      </c>
      <c r="U67" s="79">
        <f t="shared" si="101"/>
        <v>959837</v>
      </c>
      <c r="V67" s="42">
        <f t="shared" si="102"/>
        <v>1463.2620735810426</v>
      </c>
      <c r="W67" s="49">
        <f t="shared" si="103"/>
        <v>-22095395</v>
      </c>
      <c r="X67" s="33">
        <f t="shared" si="104"/>
        <v>-33684.212532223908</v>
      </c>
      <c r="Y67" s="85">
        <f t="shared" si="105"/>
        <v>0.93032085363899797</v>
      </c>
      <c r="Z67" s="85">
        <f t="shared" si="106"/>
        <v>1.9624060723492547</v>
      </c>
      <c r="AA67" s="88"/>
    </row>
    <row r="68" spans="1:39" x14ac:dyDescent="0.35">
      <c r="A68" s="120" t="s">
        <v>104</v>
      </c>
      <c r="B68" s="125" t="s">
        <v>96</v>
      </c>
      <c r="C68" s="105">
        <v>3</v>
      </c>
      <c r="D68" s="106">
        <v>60000</v>
      </c>
      <c r="E68" s="92">
        <f t="shared" si="91"/>
        <v>180000</v>
      </c>
      <c r="F68" s="99">
        <f t="shared" si="92"/>
        <v>118072260</v>
      </c>
      <c r="G68" s="98">
        <f t="shared" si="107"/>
        <v>118072260</v>
      </c>
      <c r="H68" s="99">
        <v>180000</v>
      </c>
      <c r="I68" s="49">
        <v>3177245</v>
      </c>
      <c r="J68" s="33">
        <f t="shared" si="93"/>
        <v>4843.6787777247591</v>
      </c>
      <c r="K68" s="49">
        <v>67544060</v>
      </c>
      <c r="L68" s="33">
        <f t="shared" si="94"/>
        <v>102970.25567224681</v>
      </c>
      <c r="M68" s="69">
        <f t="shared" si="95"/>
        <v>70721305</v>
      </c>
      <c r="N68" s="70">
        <f t="shared" si="96"/>
        <v>107813.93444997157</v>
      </c>
      <c r="O68" s="110">
        <v>39357420</v>
      </c>
      <c r="P68" s="32">
        <f t="shared" si="97"/>
        <v>60000</v>
      </c>
      <c r="Q68" s="71">
        <f>51234119+2090400</f>
        <v>53324519</v>
      </c>
      <c r="R68" s="74">
        <f t="shared" si="98"/>
        <v>81292.705162076178</v>
      </c>
      <c r="S68" s="77">
        <f t="shared" si="99"/>
        <v>124045824</v>
      </c>
      <c r="T68" s="78">
        <f t="shared" si="100"/>
        <v>189106.63961204773</v>
      </c>
      <c r="U68" s="79">
        <f t="shared" si="101"/>
        <v>-13967099</v>
      </c>
      <c r="V68" s="42">
        <f t="shared" si="102"/>
        <v>-21292.705162076174</v>
      </c>
      <c r="W68" s="49">
        <f t="shared" si="103"/>
        <v>-5973564</v>
      </c>
      <c r="X68" s="33">
        <f t="shared" si="104"/>
        <v>-9106.6396120477402</v>
      </c>
      <c r="Y68" s="85">
        <f t="shared" si="105"/>
        <v>1.3548784193679362</v>
      </c>
      <c r="Z68" s="85">
        <f t="shared" si="106"/>
        <v>1.0505924422891542</v>
      </c>
      <c r="AA68" s="88"/>
    </row>
    <row r="69" spans="1:39" ht="26" x14ac:dyDescent="0.35">
      <c r="A69" s="120" t="s">
        <v>105</v>
      </c>
      <c r="B69" s="125" t="s">
        <v>96</v>
      </c>
      <c r="C69" s="105">
        <f>10*4</f>
        <v>40</v>
      </c>
      <c r="D69" s="106">
        <v>762</v>
      </c>
      <c r="E69" s="92">
        <f t="shared" si="91"/>
        <v>30480</v>
      </c>
      <c r="F69" s="99">
        <f t="shared" si="92"/>
        <v>19993569.359999999</v>
      </c>
      <c r="G69" s="98">
        <f t="shared" si="107"/>
        <v>19993569.359999999</v>
      </c>
      <c r="H69" s="99">
        <v>30480</v>
      </c>
      <c r="I69" s="49">
        <v>16011200</v>
      </c>
      <c r="J69" s="33">
        <f t="shared" si="93"/>
        <v>24408.917047916249</v>
      </c>
      <c r="K69" s="49"/>
      <c r="L69" s="33">
        <f t="shared" si="94"/>
        <v>0</v>
      </c>
      <c r="M69" s="69">
        <f t="shared" si="95"/>
        <v>16011200</v>
      </c>
      <c r="N69" s="70">
        <f t="shared" si="96"/>
        <v>24408.917047916249</v>
      </c>
      <c r="O69" s="110">
        <v>0</v>
      </c>
      <c r="P69" s="32">
        <f t="shared" si="97"/>
        <v>0</v>
      </c>
      <c r="Q69" s="71"/>
      <c r="R69" s="74">
        <f t="shared" si="98"/>
        <v>0</v>
      </c>
      <c r="S69" s="77">
        <f t="shared" si="99"/>
        <v>16011200</v>
      </c>
      <c r="T69" s="78">
        <f t="shared" si="100"/>
        <v>24408.917047916249</v>
      </c>
      <c r="U69" s="79">
        <f t="shared" si="101"/>
        <v>0</v>
      </c>
      <c r="V69" s="42">
        <f t="shared" si="102"/>
        <v>0</v>
      </c>
      <c r="W69" s="49">
        <f t="shared" si="103"/>
        <v>3982369.3599999994</v>
      </c>
      <c r="X69" s="33">
        <f t="shared" si="104"/>
        <v>6071.0829520837488</v>
      </c>
      <c r="Y69" s="85" t="e">
        <f t="shared" si="105"/>
        <v>#DIV/0!</v>
      </c>
      <c r="Z69" s="85">
        <f t="shared" si="106"/>
        <v>0.80081748844869594</v>
      </c>
      <c r="AA69" s="88"/>
    </row>
    <row r="70" spans="1:39" x14ac:dyDescent="0.35">
      <c r="A70" s="120" t="s">
        <v>106</v>
      </c>
      <c r="B70" s="125" t="s">
        <v>96</v>
      </c>
      <c r="C70" s="105">
        <v>12</v>
      </c>
      <c r="D70" s="106">
        <v>2000</v>
      </c>
      <c r="E70" s="92">
        <f t="shared" si="91"/>
        <v>24000</v>
      </c>
      <c r="F70" s="99">
        <f t="shared" si="92"/>
        <v>15742968</v>
      </c>
      <c r="G70" s="98">
        <f t="shared" si="107"/>
        <v>7871484</v>
      </c>
      <c r="H70" s="99">
        <v>12000</v>
      </c>
      <c r="I70" s="49"/>
      <c r="J70" s="33">
        <f t="shared" si="93"/>
        <v>0</v>
      </c>
      <c r="K70" s="49">
        <v>5226850</v>
      </c>
      <c r="L70" s="33">
        <f t="shared" si="94"/>
        <v>7968.2814574735849</v>
      </c>
      <c r="M70" s="69">
        <f t="shared" si="95"/>
        <v>5226850</v>
      </c>
      <c r="N70" s="70">
        <f t="shared" si="96"/>
        <v>7968.2814574735849</v>
      </c>
      <c r="O70" s="110">
        <v>3935742</v>
      </c>
      <c r="P70" s="32">
        <f t="shared" si="97"/>
        <v>6000</v>
      </c>
      <c r="Q70" s="71">
        <v>3600000</v>
      </c>
      <c r="R70" s="74">
        <f t="shared" si="98"/>
        <v>5488.1646205467741</v>
      </c>
      <c r="S70" s="77">
        <f t="shared" si="99"/>
        <v>8826850</v>
      </c>
      <c r="T70" s="78">
        <f t="shared" si="100"/>
        <v>13456.446078020359</v>
      </c>
      <c r="U70" s="79">
        <f t="shared" si="101"/>
        <v>335742</v>
      </c>
      <c r="V70" s="42">
        <f t="shared" si="102"/>
        <v>511.83537945322638</v>
      </c>
      <c r="W70" s="49">
        <f t="shared" si="103"/>
        <v>-955366</v>
      </c>
      <c r="X70" s="33">
        <f t="shared" si="104"/>
        <v>-1456.4460780203581</v>
      </c>
      <c r="Y70" s="85">
        <f t="shared" si="105"/>
        <v>0.91469410342446222</v>
      </c>
      <c r="Z70" s="85">
        <f t="shared" si="106"/>
        <v>1.1213705065016966</v>
      </c>
      <c r="AA70" s="88"/>
    </row>
    <row r="71" spans="1:39" ht="26" x14ac:dyDescent="0.35">
      <c r="A71" s="120" t="s">
        <v>107</v>
      </c>
      <c r="B71" s="125" t="s">
        <v>96</v>
      </c>
      <c r="C71" s="105"/>
      <c r="D71" s="106"/>
      <c r="E71" s="92"/>
      <c r="F71" s="99"/>
      <c r="G71" s="98">
        <f t="shared" si="107"/>
        <v>0</v>
      </c>
      <c r="H71" s="99"/>
      <c r="I71" s="49"/>
      <c r="J71" s="33">
        <f t="shared" si="93"/>
        <v>0</v>
      </c>
      <c r="K71" s="49">
        <v>0</v>
      </c>
      <c r="L71" s="33">
        <f t="shared" si="94"/>
        <v>0</v>
      </c>
      <c r="M71" s="69">
        <f t="shared" si="95"/>
        <v>0</v>
      </c>
      <c r="N71" s="70">
        <f t="shared" si="96"/>
        <v>0</v>
      </c>
      <c r="O71" s="110">
        <v>11807226</v>
      </c>
      <c r="P71" s="32">
        <f t="shared" si="97"/>
        <v>18000</v>
      </c>
      <c r="Q71" s="71">
        <f>3520000+4000000</f>
        <v>7520000</v>
      </c>
      <c r="R71" s="74">
        <f t="shared" si="98"/>
        <v>11464.166096253261</v>
      </c>
      <c r="S71" s="77">
        <f t="shared" si="99"/>
        <v>7520000</v>
      </c>
      <c r="T71" s="78">
        <f t="shared" si="100"/>
        <v>11464.166096253261</v>
      </c>
      <c r="U71" s="79">
        <f t="shared" si="101"/>
        <v>4287226</v>
      </c>
      <c r="V71" s="42">
        <f t="shared" si="102"/>
        <v>6535.8339037467395</v>
      </c>
      <c r="W71" s="49">
        <f t="shared" si="103"/>
        <v>-7520000</v>
      </c>
      <c r="X71" s="33">
        <f t="shared" si="104"/>
        <v>-11464.166096253261</v>
      </c>
      <c r="Y71" s="85">
        <f t="shared" si="105"/>
        <v>0.63689811645851446</v>
      </c>
      <c r="Z71" s="85" t="e">
        <f t="shared" si="106"/>
        <v>#DIV/0!</v>
      </c>
      <c r="AA71" s="88"/>
    </row>
    <row r="72" spans="1:39" x14ac:dyDescent="0.35">
      <c r="A72" s="137" t="s">
        <v>108</v>
      </c>
      <c r="B72" s="126"/>
      <c r="C72" s="38"/>
      <c r="D72" s="37"/>
      <c r="E72" s="39">
        <f>SUM(E63:E71)</f>
        <v>413480</v>
      </c>
      <c r="F72" s="54">
        <f>E72*655.957</f>
        <v>271225100.36000001</v>
      </c>
      <c r="G72" s="53">
        <f>SUM(G63:G71)</f>
        <v>245642777.36000001</v>
      </c>
      <c r="H72" s="54">
        <f>SUM(H63:H71)</f>
        <v>374480</v>
      </c>
      <c r="I72" s="133">
        <f t="shared" ref="I72:N72" si="108">SUM(I63:I71)</f>
        <v>63403500</v>
      </c>
      <c r="J72" s="54">
        <f t="shared" si="108"/>
        <v>96658.012644121482</v>
      </c>
      <c r="K72" s="54">
        <f>SUM(K63:K71)</f>
        <v>136233510</v>
      </c>
      <c r="L72" s="54">
        <f t="shared" si="108"/>
        <v>207686.6471430292</v>
      </c>
      <c r="M72" s="54">
        <f t="shared" si="108"/>
        <v>199637010</v>
      </c>
      <c r="N72" s="54">
        <f t="shared" si="108"/>
        <v>304344.65978715068</v>
      </c>
      <c r="O72" s="112">
        <f t="shared" ref="O72" si="109">SUM(O63:O71)</f>
        <v>90850044.5</v>
      </c>
      <c r="P72" s="54">
        <f t="shared" ref="P72" si="110">SUM(P63:P71)</f>
        <v>138500</v>
      </c>
      <c r="Q72" s="54">
        <f t="shared" ref="Q72" si="111">SUM(Q63:Q71)</f>
        <v>95322086</v>
      </c>
      <c r="R72" s="54">
        <f t="shared" ref="R72" si="112">SUM(R63:R71)</f>
        <v>145317.58331719914</v>
      </c>
      <c r="S72" s="54">
        <f t="shared" ref="S72" si="113">SUM(S63:S71)</f>
        <v>294959096</v>
      </c>
      <c r="T72" s="54">
        <f t="shared" ref="T72" si="114">SUM(T63:T71)</f>
        <v>449662.24310434982</v>
      </c>
      <c r="U72" s="54">
        <f t="shared" ref="U72" si="115">SUM(U63:U71)</f>
        <v>-4472041.5</v>
      </c>
      <c r="V72" s="54">
        <f t="shared" ref="V72" si="116">SUM(V63:V71)</f>
        <v>-6817.5833171991453</v>
      </c>
      <c r="W72" s="54">
        <f t="shared" ref="W72" si="117">SUM(W63:W71)</f>
        <v>-49316318.640000001</v>
      </c>
      <c r="X72" s="54">
        <f t="shared" ref="X72" si="118">SUM(X63:X71)</f>
        <v>-75182.243104349822</v>
      </c>
      <c r="Y72" s="54" t="e">
        <f t="shared" ref="Y72" si="119">SUM(Y63:Y71)</f>
        <v>#DIV/0!</v>
      </c>
      <c r="Z72" s="54" t="e">
        <f t="shared" ref="Z72" si="120">SUM(Z63:Z71)</f>
        <v>#DIV/0!</v>
      </c>
      <c r="AA72" s="54" t="s">
        <v>0</v>
      </c>
    </row>
    <row r="73" spans="1:39" s="43" customFormat="1" ht="26" customHeight="1" x14ac:dyDescent="0.35">
      <c r="A73" s="55" t="s">
        <v>109</v>
      </c>
      <c r="B73" s="55"/>
      <c r="C73" s="45"/>
      <c r="D73" s="45"/>
      <c r="E73" s="45"/>
      <c r="F73" s="127"/>
      <c r="G73" s="51"/>
      <c r="H73" s="52"/>
      <c r="I73" s="51"/>
      <c r="J73" s="52"/>
      <c r="K73" s="51"/>
      <c r="L73" s="52"/>
      <c r="M73" s="69"/>
      <c r="N73" s="69"/>
      <c r="O73" s="111"/>
      <c r="P73" s="52"/>
      <c r="Q73" s="71"/>
      <c r="R73" s="72"/>
      <c r="S73" s="77"/>
      <c r="T73" s="78"/>
      <c r="U73" s="51"/>
      <c r="V73" s="52"/>
      <c r="W73" s="51"/>
      <c r="X73" s="52"/>
      <c r="Y73" s="89"/>
      <c r="Z73" s="89"/>
      <c r="AA73" s="88"/>
      <c r="AM73" s="44"/>
    </row>
    <row r="74" spans="1:39" ht="26" x14ac:dyDescent="0.35">
      <c r="A74" s="120" t="s">
        <v>110</v>
      </c>
      <c r="B74" s="125" t="s">
        <v>96</v>
      </c>
      <c r="C74" s="105">
        <v>1</v>
      </c>
      <c r="D74" s="106">
        <v>25000</v>
      </c>
      <c r="E74" s="92">
        <f>C74*D74</f>
        <v>25000</v>
      </c>
      <c r="F74" s="99">
        <f t="shared" ref="F74:F81" si="121">E74*655.957</f>
        <v>16398925</v>
      </c>
      <c r="G74" s="98">
        <f t="shared" ref="G74:G82" si="122">+H74*655.957</f>
        <v>16398925</v>
      </c>
      <c r="H74" s="99">
        <v>25000</v>
      </c>
      <c r="I74" s="49"/>
      <c r="J74" s="33">
        <f t="shared" ref="J74:J82" si="123">+I74/655.957</f>
        <v>0</v>
      </c>
      <c r="K74" s="49"/>
      <c r="L74" s="33">
        <f t="shared" ref="L74:L82" si="124">+K74/655.957</f>
        <v>0</v>
      </c>
      <c r="M74" s="69">
        <f t="shared" ref="M74:M82" si="125">I74+K74</f>
        <v>0</v>
      </c>
      <c r="N74" s="70">
        <f t="shared" ref="N74:N82" si="126">+J74+L74</f>
        <v>0</v>
      </c>
      <c r="O74" s="110">
        <v>8199462.5</v>
      </c>
      <c r="P74" s="32">
        <f t="shared" ref="P74:P82" si="127">O74/655.957</f>
        <v>12500</v>
      </c>
      <c r="Q74" s="71">
        <v>8619000</v>
      </c>
      <c r="R74" s="74">
        <f t="shared" ref="R74:R82" si="128">+Q74/655.957</f>
        <v>13139.5807956924</v>
      </c>
      <c r="S74" s="77">
        <f t="shared" ref="S74:S82" si="129">+M74+Q74</f>
        <v>8619000</v>
      </c>
      <c r="T74" s="78">
        <f t="shared" ref="T74:T82" si="130">+S74/655.957</f>
        <v>13139.5807956924</v>
      </c>
      <c r="U74" s="79">
        <f t="shared" ref="U74:U82" si="131">O74-Q74</f>
        <v>-419537.5</v>
      </c>
      <c r="V74" s="42">
        <f t="shared" ref="V74:V82" si="132">U74/655.957</f>
        <v>-639.58079569240056</v>
      </c>
      <c r="W74" s="49">
        <f t="shared" ref="W74:W82" si="133">+G74-S74</f>
        <v>7779925</v>
      </c>
      <c r="X74" s="33">
        <f t="shared" ref="X74:X82" si="134">W74/655.957</f>
        <v>11860.4192043076</v>
      </c>
      <c r="Y74" s="85">
        <f t="shared" ref="Y74:Y82" si="135">+Q74/O74</f>
        <v>1.0511664636553921</v>
      </c>
      <c r="Z74" s="85">
        <f t="shared" ref="Z74:Z82" si="136">+S74/G74</f>
        <v>0.52558323182769606</v>
      </c>
      <c r="AA74" s="88"/>
    </row>
    <row r="75" spans="1:39" ht="26" x14ac:dyDescent="0.35">
      <c r="A75" s="120" t="s">
        <v>111</v>
      </c>
      <c r="B75" s="125" t="s">
        <v>96</v>
      </c>
      <c r="C75" s="105">
        <v>1</v>
      </c>
      <c r="D75" s="106">
        <v>30000</v>
      </c>
      <c r="E75" s="92">
        <f t="shared" ref="E75:E77" si="137">C75*D75</f>
        <v>30000</v>
      </c>
      <c r="F75" s="99">
        <f t="shared" si="121"/>
        <v>19678710</v>
      </c>
      <c r="G75" s="98">
        <f t="shared" si="122"/>
        <v>19678710</v>
      </c>
      <c r="H75" s="99">
        <v>30000</v>
      </c>
      <c r="I75" s="49">
        <v>16000000</v>
      </c>
      <c r="J75" s="33">
        <f t="shared" si="123"/>
        <v>24391.842757985662</v>
      </c>
      <c r="K75" s="49">
        <v>0</v>
      </c>
      <c r="L75" s="33">
        <f t="shared" si="124"/>
        <v>0</v>
      </c>
      <c r="M75" s="69">
        <f t="shared" si="125"/>
        <v>16000000</v>
      </c>
      <c r="N75" s="70">
        <f t="shared" si="126"/>
        <v>24391.842757985662</v>
      </c>
      <c r="O75" s="110">
        <v>14759032.5</v>
      </c>
      <c r="P75" s="32">
        <f t="shared" si="127"/>
        <v>22500</v>
      </c>
      <c r="Q75" s="71">
        <v>10207186</v>
      </c>
      <c r="R75" s="74">
        <f t="shared" si="128"/>
        <v>15560.754744594538</v>
      </c>
      <c r="S75" s="77">
        <f t="shared" si="129"/>
        <v>26207186</v>
      </c>
      <c r="T75" s="78">
        <f t="shared" si="130"/>
        <v>39952.597502580204</v>
      </c>
      <c r="U75" s="79">
        <f t="shared" si="131"/>
        <v>4551846.5</v>
      </c>
      <c r="V75" s="42">
        <f t="shared" si="132"/>
        <v>6939.2452554054607</v>
      </c>
      <c r="W75" s="49">
        <f t="shared" si="133"/>
        <v>-6528476</v>
      </c>
      <c r="X75" s="33">
        <f t="shared" si="134"/>
        <v>-9952.5975025801999</v>
      </c>
      <c r="Y75" s="85">
        <f t="shared" si="135"/>
        <v>0.69158909975975724</v>
      </c>
      <c r="Z75" s="85">
        <f t="shared" si="136"/>
        <v>1.3317532500860068</v>
      </c>
      <c r="AA75" s="88"/>
    </row>
    <row r="76" spans="1:39" ht="39" x14ac:dyDescent="0.35">
      <c r="A76" s="120" t="s">
        <v>112</v>
      </c>
      <c r="B76" s="125" t="s">
        <v>96</v>
      </c>
      <c r="C76" s="105">
        <v>1</v>
      </c>
      <c r="D76" s="106">
        <v>100000</v>
      </c>
      <c r="E76" s="92">
        <f t="shared" si="137"/>
        <v>100000</v>
      </c>
      <c r="F76" s="99">
        <f t="shared" si="121"/>
        <v>65595700</v>
      </c>
      <c r="G76" s="98">
        <f t="shared" si="122"/>
        <v>0</v>
      </c>
      <c r="H76" s="99">
        <v>0</v>
      </c>
      <c r="I76" s="49">
        <v>2738150</v>
      </c>
      <c r="J76" s="33">
        <f t="shared" si="123"/>
        <v>4174.2827654861521</v>
      </c>
      <c r="K76" s="49"/>
      <c r="L76" s="33">
        <f t="shared" si="124"/>
        <v>0</v>
      </c>
      <c r="M76" s="69">
        <f t="shared" si="125"/>
        <v>2738150</v>
      </c>
      <c r="N76" s="70">
        <f t="shared" si="126"/>
        <v>4174.2827654861521</v>
      </c>
      <c r="O76" s="110">
        <v>0</v>
      </c>
      <c r="P76" s="32">
        <f t="shared" si="127"/>
        <v>0</v>
      </c>
      <c r="Q76" s="71"/>
      <c r="R76" s="74">
        <f t="shared" si="128"/>
        <v>0</v>
      </c>
      <c r="S76" s="77">
        <f t="shared" si="129"/>
        <v>2738150</v>
      </c>
      <c r="T76" s="78">
        <f t="shared" si="130"/>
        <v>4174.2827654861521</v>
      </c>
      <c r="U76" s="79">
        <f t="shared" si="131"/>
        <v>0</v>
      </c>
      <c r="V76" s="42">
        <f t="shared" si="132"/>
        <v>0</v>
      </c>
      <c r="W76" s="49">
        <f t="shared" si="133"/>
        <v>-2738150</v>
      </c>
      <c r="X76" s="33">
        <f t="shared" si="134"/>
        <v>-4174.2827654861521</v>
      </c>
      <c r="Y76" s="85" t="e">
        <f t="shared" si="135"/>
        <v>#DIV/0!</v>
      </c>
      <c r="Z76" s="85" t="e">
        <f t="shared" si="136"/>
        <v>#DIV/0!</v>
      </c>
      <c r="AA76" s="88"/>
    </row>
    <row r="77" spans="1:39" ht="39" x14ac:dyDescent="0.35">
      <c r="A77" s="120" t="s">
        <v>113</v>
      </c>
      <c r="B77" s="125" t="s">
        <v>96</v>
      </c>
      <c r="C77" s="105">
        <v>5</v>
      </c>
      <c r="D77" s="106">
        <v>5000</v>
      </c>
      <c r="E77" s="92">
        <f t="shared" si="137"/>
        <v>25000</v>
      </c>
      <c r="F77" s="99">
        <f t="shared" si="121"/>
        <v>16398925</v>
      </c>
      <c r="G77" s="98">
        <f t="shared" si="122"/>
        <v>0</v>
      </c>
      <c r="H77" s="99">
        <v>0</v>
      </c>
      <c r="I77" s="49"/>
      <c r="J77" s="33">
        <f t="shared" si="123"/>
        <v>0</v>
      </c>
      <c r="K77" s="49"/>
      <c r="L77" s="33">
        <f t="shared" si="124"/>
        <v>0</v>
      </c>
      <c r="M77" s="69">
        <f t="shared" si="125"/>
        <v>0</v>
      </c>
      <c r="N77" s="70">
        <f t="shared" si="126"/>
        <v>0</v>
      </c>
      <c r="O77" s="110">
        <v>0</v>
      </c>
      <c r="P77" s="32">
        <f t="shared" si="127"/>
        <v>0</v>
      </c>
      <c r="Q77" s="71"/>
      <c r="R77" s="74">
        <f t="shared" si="128"/>
        <v>0</v>
      </c>
      <c r="S77" s="77">
        <f t="shared" si="129"/>
        <v>0</v>
      </c>
      <c r="T77" s="78">
        <f t="shared" si="130"/>
        <v>0</v>
      </c>
      <c r="U77" s="79">
        <f t="shared" si="131"/>
        <v>0</v>
      </c>
      <c r="V77" s="42">
        <f t="shared" si="132"/>
        <v>0</v>
      </c>
      <c r="W77" s="49">
        <f t="shared" si="133"/>
        <v>0</v>
      </c>
      <c r="X77" s="33">
        <f t="shared" si="134"/>
        <v>0</v>
      </c>
      <c r="Y77" s="85" t="e">
        <f t="shared" si="135"/>
        <v>#DIV/0!</v>
      </c>
      <c r="Z77" s="85" t="e">
        <f t="shared" si="136"/>
        <v>#DIV/0!</v>
      </c>
      <c r="AA77" s="88"/>
    </row>
    <row r="78" spans="1:39" x14ac:dyDescent="0.35">
      <c r="A78" s="120" t="s">
        <v>114</v>
      </c>
      <c r="B78" s="125" t="s">
        <v>96</v>
      </c>
      <c r="C78" s="105">
        <v>1</v>
      </c>
      <c r="D78" s="106">
        <v>40000</v>
      </c>
      <c r="E78" s="92">
        <f>C78*D78</f>
        <v>40000</v>
      </c>
      <c r="F78" s="99">
        <f t="shared" si="121"/>
        <v>26238280</v>
      </c>
      <c r="G78" s="98">
        <f t="shared" si="122"/>
        <v>16889580.835999999</v>
      </c>
      <c r="H78" s="99">
        <v>25748</v>
      </c>
      <c r="I78" s="49"/>
      <c r="J78" s="33">
        <f t="shared" si="123"/>
        <v>0</v>
      </c>
      <c r="K78" s="49">
        <v>4523776</v>
      </c>
      <c r="L78" s="33">
        <f t="shared" si="124"/>
        <v>6896.4520540218336</v>
      </c>
      <c r="M78" s="69">
        <f t="shared" si="125"/>
        <v>4523776</v>
      </c>
      <c r="N78" s="70">
        <f t="shared" si="126"/>
        <v>6896.4520540218336</v>
      </c>
      <c r="O78" s="110">
        <v>26238280</v>
      </c>
      <c r="P78" s="32">
        <f t="shared" si="127"/>
        <v>40000</v>
      </c>
      <c r="Q78" s="71">
        <v>26232198</v>
      </c>
      <c r="R78" s="74">
        <f t="shared" si="128"/>
        <v>39990.72805077162</v>
      </c>
      <c r="S78" s="77">
        <f t="shared" si="129"/>
        <v>30755974</v>
      </c>
      <c r="T78" s="78">
        <f t="shared" si="130"/>
        <v>46887.180104793457</v>
      </c>
      <c r="U78" s="79">
        <f t="shared" si="131"/>
        <v>6082</v>
      </c>
      <c r="V78" s="42">
        <f t="shared" si="132"/>
        <v>9.2719492283792988</v>
      </c>
      <c r="W78" s="49">
        <f t="shared" si="133"/>
        <v>-13866393.164000001</v>
      </c>
      <c r="X78" s="33">
        <f t="shared" si="134"/>
        <v>-21139.180104793457</v>
      </c>
      <c r="Y78" s="85">
        <f t="shared" si="135"/>
        <v>0.99976820126929056</v>
      </c>
      <c r="Z78" s="85">
        <f t="shared" si="136"/>
        <v>1.8210028004036607</v>
      </c>
      <c r="AA78" s="88"/>
    </row>
    <row r="79" spans="1:39" x14ac:dyDescent="0.35">
      <c r="A79" s="120" t="s">
        <v>115</v>
      </c>
      <c r="B79" s="125" t="s">
        <v>96</v>
      </c>
      <c r="C79" s="105">
        <v>2</v>
      </c>
      <c r="D79" s="106">
        <v>10000</v>
      </c>
      <c r="E79" s="92">
        <f>C79*D79</f>
        <v>20000</v>
      </c>
      <c r="F79" s="99">
        <f t="shared" si="121"/>
        <v>13119140</v>
      </c>
      <c r="G79" s="98">
        <f t="shared" si="122"/>
        <v>6559570</v>
      </c>
      <c r="H79" s="99">
        <v>10000</v>
      </c>
      <c r="I79" s="49">
        <v>7107460</v>
      </c>
      <c r="J79" s="33">
        <f t="shared" si="123"/>
        <v>10835.252920542047</v>
      </c>
      <c r="K79" s="49"/>
      <c r="L79" s="33">
        <f t="shared" si="124"/>
        <v>0</v>
      </c>
      <c r="M79" s="69">
        <f t="shared" si="125"/>
        <v>7107460</v>
      </c>
      <c r="N79" s="70">
        <f t="shared" si="126"/>
        <v>10835.252920542047</v>
      </c>
      <c r="O79" s="110">
        <v>0</v>
      </c>
      <c r="P79" s="32">
        <f t="shared" si="127"/>
        <v>0</v>
      </c>
      <c r="Q79" s="71"/>
      <c r="R79" s="74">
        <f t="shared" si="128"/>
        <v>0</v>
      </c>
      <c r="S79" s="77">
        <f t="shared" si="129"/>
        <v>7107460</v>
      </c>
      <c r="T79" s="78">
        <f t="shared" si="130"/>
        <v>10835.252920542047</v>
      </c>
      <c r="U79" s="79">
        <f t="shared" si="131"/>
        <v>0</v>
      </c>
      <c r="V79" s="42">
        <f t="shared" si="132"/>
        <v>0</v>
      </c>
      <c r="W79" s="49">
        <f t="shared" si="133"/>
        <v>-547890</v>
      </c>
      <c r="X79" s="33">
        <f t="shared" si="134"/>
        <v>-835.25292054204772</v>
      </c>
      <c r="Y79" s="85" t="e">
        <f t="shared" si="135"/>
        <v>#DIV/0!</v>
      </c>
      <c r="Z79" s="85">
        <f t="shared" si="136"/>
        <v>1.0835252920542047</v>
      </c>
      <c r="AA79" s="88"/>
    </row>
    <row r="80" spans="1:39" x14ac:dyDescent="0.35">
      <c r="A80" s="120" t="s">
        <v>116</v>
      </c>
      <c r="B80" s="125" t="s">
        <v>96</v>
      </c>
      <c r="C80" s="105">
        <v>3</v>
      </c>
      <c r="D80" s="106">
        <v>20000</v>
      </c>
      <c r="E80" s="92">
        <f t="shared" ref="E80:E81" si="138">C80*D80</f>
        <v>60000</v>
      </c>
      <c r="F80" s="99">
        <f t="shared" si="121"/>
        <v>39357420</v>
      </c>
      <c r="G80" s="98">
        <f t="shared" si="122"/>
        <v>0</v>
      </c>
      <c r="H80" s="99">
        <v>0</v>
      </c>
      <c r="I80" s="49"/>
      <c r="J80" s="33">
        <f t="shared" si="123"/>
        <v>0</v>
      </c>
      <c r="K80" s="49"/>
      <c r="L80" s="33">
        <f t="shared" si="124"/>
        <v>0</v>
      </c>
      <c r="M80" s="69">
        <f t="shared" si="125"/>
        <v>0</v>
      </c>
      <c r="N80" s="70">
        <f t="shared" si="126"/>
        <v>0</v>
      </c>
      <c r="O80" s="110">
        <v>0</v>
      </c>
      <c r="P80" s="32">
        <f t="shared" si="127"/>
        <v>0</v>
      </c>
      <c r="Q80" s="71"/>
      <c r="R80" s="74">
        <f t="shared" si="128"/>
        <v>0</v>
      </c>
      <c r="S80" s="77">
        <f t="shared" si="129"/>
        <v>0</v>
      </c>
      <c r="T80" s="78">
        <f t="shared" si="130"/>
        <v>0</v>
      </c>
      <c r="U80" s="79">
        <f t="shared" si="131"/>
        <v>0</v>
      </c>
      <c r="V80" s="42">
        <f t="shared" si="132"/>
        <v>0</v>
      </c>
      <c r="W80" s="49">
        <f t="shared" si="133"/>
        <v>0</v>
      </c>
      <c r="X80" s="33">
        <f t="shared" si="134"/>
        <v>0</v>
      </c>
      <c r="Y80" s="85" t="e">
        <f t="shared" si="135"/>
        <v>#DIV/0!</v>
      </c>
      <c r="Z80" s="85" t="e">
        <f t="shared" si="136"/>
        <v>#DIV/0!</v>
      </c>
      <c r="AA80" s="88"/>
    </row>
    <row r="81" spans="1:39" x14ac:dyDescent="0.35">
      <c r="A81" s="120" t="s">
        <v>117</v>
      </c>
      <c r="B81" s="125" t="s">
        <v>96</v>
      </c>
      <c r="C81" s="105">
        <v>1</v>
      </c>
      <c r="D81" s="106">
        <v>35000</v>
      </c>
      <c r="E81" s="92">
        <f t="shared" si="138"/>
        <v>35000</v>
      </c>
      <c r="F81" s="99">
        <f t="shared" si="121"/>
        <v>22958495</v>
      </c>
      <c r="G81" s="98">
        <f t="shared" si="122"/>
        <v>6559570</v>
      </c>
      <c r="H81" s="99">
        <v>10000</v>
      </c>
      <c r="I81" s="49"/>
      <c r="J81" s="33">
        <f t="shared" si="123"/>
        <v>0</v>
      </c>
      <c r="K81" s="49"/>
      <c r="L81" s="33">
        <f t="shared" si="124"/>
        <v>0</v>
      </c>
      <c r="M81" s="69">
        <f t="shared" si="125"/>
        <v>0</v>
      </c>
      <c r="N81" s="70">
        <f t="shared" si="126"/>
        <v>0</v>
      </c>
      <c r="O81" s="110">
        <v>0</v>
      </c>
      <c r="P81" s="32">
        <f t="shared" si="127"/>
        <v>0</v>
      </c>
      <c r="Q81" s="71"/>
      <c r="R81" s="74">
        <f t="shared" si="128"/>
        <v>0</v>
      </c>
      <c r="S81" s="77">
        <f t="shared" si="129"/>
        <v>0</v>
      </c>
      <c r="T81" s="78">
        <f t="shared" si="130"/>
        <v>0</v>
      </c>
      <c r="U81" s="79">
        <f t="shared" si="131"/>
        <v>0</v>
      </c>
      <c r="V81" s="42">
        <f t="shared" si="132"/>
        <v>0</v>
      </c>
      <c r="W81" s="49">
        <f t="shared" si="133"/>
        <v>6559570</v>
      </c>
      <c r="X81" s="33">
        <f t="shared" si="134"/>
        <v>10000</v>
      </c>
      <c r="Y81" s="85" t="e">
        <f t="shared" si="135"/>
        <v>#DIV/0!</v>
      </c>
      <c r="Z81" s="85">
        <f t="shared" si="136"/>
        <v>0</v>
      </c>
      <c r="AA81" s="88"/>
    </row>
    <row r="82" spans="1:39" ht="26" x14ac:dyDescent="0.35">
      <c r="A82" s="120" t="s">
        <v>118</v>
      </c>
      <c r="B82" s="125" t="s">
        <v>96</v>
      </c>
      <c r="C82" s="105"/>
      <c r="D82" s="106"/>
      <c r="E82" s="92"/>
      <c r="F82" s="99"/>
      <c r="G82" s="98">
        <f t="shared" si="122"/>
        <v>0</v>
      </c>
      <c r="H82" s="99"/>
      <c r="I82" s="49"/>
      <c r="J82" s="33">
        <f t="shared" si="123"/>
        <v>0</v>
      </c>
      <c r="K82" s="49"/>
      <c r="L82" s="33">
        <f t="shared" si="124"/>
        <v>0</v>
      </c>
      <c r="M82" s="69">
        <f t="shared" si="125"/>
        <v>0</v>
      </c>
      <c r="N82" s="70">
        <f t="shared" si="126"/>
        <v>0</v>
      </c>
      <c r="O82" s="110">
        <v>10495312</v>
      </c>
      <c r="P82" s="32">
        <f t="shared" si="127"/>
        <v>16000</v>
      </c>
      <c r="Q82" s="71">
        <f>350000+4001629</f>
        <v>4351629</v>
      </c>
      <c r="R82" s="74">
        <f t="shared" si="128"/>
        <v>6634.0156443181486</v>
      </c>
      <c r="S82" s="77">
        <f t="shared" si="129"/>
        <v>4351629</v>
      </c>
      <c r="T82" s="78">
        <f t="shared" si="130"/>
        <v>6634.0156443181486</v>
      </c>
      <c r="U82" s="79">
        <f t="shared" si="131"/>
        <v>6143683</v>
      </c>
      <c r="V82" s="42">
        <f t="shared" si="132"/>
        <v>9365.9843556818505</v>
      </c>
      <c r="W82" s="49">
        <f t="shared" si="133"/>
        <v>-4351629</v>
      </c>
      <c r="X82" s="33">
        <f t="shared" si="134"/>
        <v>-6634.0156443181486</v>
      </c>
      <c r="Y82" s="85">
        <f t="shared" si="135"/>
        <v>0.4146259777698843</v>
      </c>
      <c r="Z82" s="85" t="e">
        <f t="shared" si="136"/>
        <v>#DIV/0!</v>
      </c>
      <c r="AA82" s="88"/>
    </row>
    <row r="83" spans="1:39" x14ac:dyDescent="0.35">
      <c r="A83" s="137" t="s">
        <v>119</v>
      </c>
      <c r="B83" s="126"/>
      <c r="C83" s="38"/>
      <c r="D83" s="37"/>
      <c r="E83" s="39">
        <f>SUM(E74:E82)</f>
        <v>335000</v>
      </c>
      <c r="F83" s="54">
        <f>E83*655.957</f>
        <v>219745595</v>
      </c>
      <c r="G83" s="53">
        <f>SUM(G74:G82)</f>
        <v>66086355.835999995</v>
      </c>
      <c r="H83" s="54">
        <f>SUM(H74:H82)</f>
        <v>100748</v>
      </c>
      <c r="I83" s="133">
        <f t="shared" ref="I83:Z83" si="139">SUM(I74:I82)</f>
        <v>25845610</v>
      </c>
      <c r="J83" s="54">
        <f t="shared" si="139"/>
        <v>39401.378444013855</v>
      </c>
      <c r="K83" s="54">
        <f>SUM(K74:K82)</f>
        <v>4523776</v>
      </c>
      <c r="L83" s="54">
        <f t="shared" si="139"/>
        <v>6896.4520540218336</v>
      </c>
      <c r="M83" s="54">
        <f t="shared" si="139"/>
        <v>30369386</v>
      </c>
      <c r="N83" s="54">
        <f t="shared" si="139"/>
        <v>46297.830498035692</v>
      </c>
      <c r="O83" s="112">
        <f t="shared" si="139"/>
        <v>59692087</v>
      </c>
      <c r="P83" s="54">
        <f t="shared" si="139"/>
        <v>91000</v>
      </c>
      <c r="Q83" s="54">
        <f t="shared" si="139"/>
        <v>49410013</v>
      </c>
      <c r="R83" s="54">
        <f t="shared" si="139"/>
        <v>75325.079235376703</v>
      </c>
      <c r="S83" s="54">
        <f t="shared" si="139"/>
        <v>79779399</v>
      </c>
      <c r="T83" s="54">
        <f t="shared" si="139"/>
        <v>121622.90973341241</v>
      </c>
      <c r="U83" s="54">
        <f t="shared" si="139"/>
        <v>10282074</v>
      </c>
      <c r="V83" s="54">
        <f t="shared" si="139"/>
        <v>15674.92076462329</v>
      </c>
      <c r="W83" s="54">
        <f t="shared" si="139"/>
        <v>-13693043.164000001</v>
      </c>
      <c r="X83" s="54">
        <f t="shared" si="139"/>
        <v>-20874.909733412405</v>
      </c>
      <c r="Y83" s="54" t="e">
        <f t="shared" si="139"/>
        <v>#DIV/0!</v>
      </c>
      <c r="Z83" s="54" t="e">
        <f t="shared" si="139"/>
        <v>#DIV/0!</v>
      </c>
      <c r="AA83" s="54" t="s">
        <v>0</v>
      </c>
    </row>
    <row r="84" spans="1:39" s="43" customFormat="1" ht="26" customHeight="1" x14ac:dyDescent="0.35">
      <c r="A84" s="55" t="s">
        <v>120</v>
      </c>
      <c r="B84" s="55"/>
      <c r="C84" s="45"/>
      <c r="D84" s="45"/>
      <c r="E84" s="45"/>
      <c r="F84" s="56"/>
      <c r="G84" s="51"/>
      <c r="H84" s="52"/>
      <c r="I84" s="51"/>
      <c r="J84" s="52"/>
      <c r="K84" s="51"/>
      <c r="L84" s="52"/>
      <c r="M84" s="69"/>
      <c r="N84" s="69"/>
      <c r="O84" s="111"/>
      <c r="P84" s="52"/>
      <c r="Q84" s="71"/>
      <c r="R84" s="72"/>
      <c r="S84" s="77"/>
      <c r="T84" s="78"/>
      <c r="U84" s="51"/>
      <c r="V84" s="52"/>
      <c r="W84" s="51"/>
      <c r="X84" s="52"/>
      <c r="Y84" s="89"/>
      <c r="Z84" s="89"/>
      <c r="AA84" s="88"/>
      <c r="AM84" s="44"/>
    </row>
    <row r="85" spans="1:39" ht="39" x14ac:dyDescent="0.35">
      <c r="A85" s="120" t="s">
        <v>121</v>
      </c>
      <c r="B85" s="125" t="s">
        <v>96</v>
      </c>
      <c r="C85" s="105">
        <v>1</v>
      </c>
      <c r="D85" s="106">
        <v>21000</v>
      </c>
      <c r="E85" s="92">
        <f>C85*D85</f>
        <v>21000</v>
      </c>
      <c r="F85" s="99">
        <f t="shared" ref="F85:F90" si="140">E85*655.957</f>
        <v>13775097</v>
      </c>
      <c r="G85" s="98">
        <f t="shared" ref="G85:G91" si="141">+H85*655.957</f>
        <v>13775097</v>
      </c>
      <c r="H85" s="99">
        <v>21000</v>
      </c>
      <c r="I85" s="49"/>
      <c r="J85" s="33">
        <f t="shared" ref="J85:J91" si="142">+I85/655.957</f>
        <v>0</v>
      </c>
      <c r="K85" s="49">
        <v>5598506</v>
      </c>
      <c r="L85" s="33">
        <f t="shared" ref="L85:L91" si="143">+K85/655.957</f>
        <v>8534.8673769774541</v>
      </c>
      <c r="M85" s="69">
        <f t="shared" ref="M85:M91" si="144">I85+K85</f>
        <v>5598506</v>
      </c>
      <c r="N85" s="70">
        <f t="shared" ref="N85:N91" si="145">+J85+L85</f>
        <v>8534.8673769774541</v>
      </c>
      <c r="O85" s="61">
        <v>13775097</v>
      </c>
      <c r="P85" s="32">
        <f t="shared" ref="P85:P91" si="146">O85/655.957</f>
        <v>21000</v>
      </c>
      <c r="Q85" s="71">
        <f>12044939+1688466</f>
        <v>13733405</v>
      </c>
      <c r="R85" s="74">
        <f t="shared" ref="R85:R91" si="147">+Q85/655.957</f>
        <v>20936.440955733378</v>
      </c>
      <c r="S85" s="77">
        <f t="shared" ref="S85:S90" si="148">+M85+Q85</f>
        <v>19331911</v>
      </c>
      <c r="T85" s="78">
        <f t="shared" ref="T85:T91" si="149">+S85/655.957</f>
        <v>29471.308332710832</v>
      </c>
      <c r="U85" s="79">
        <f t="shared" ref="U85:U91" si="150">O85-Q85</f>
        <v>41692</v>
      </c>
      <c r="V85" s="42">
        <f t="shared" ref="V85:V91" si="151">U85/655.957</f>
        <v>63.559044266621136</v>
      </c>
      <c r="W85" s="49">
        <f t="shared" ref="W85:W91" si="152">+G85-S85</f>
        <v>-5556814</v>
      </c>
      <c r="X85" s="33">
        <f t="shared" ref="X85:X91" si="153">W85/655.957</f>
        <v>-8471.3083327108325</v>
      </c>
      <c r="Y85" s="85">
        <f t="shared" ref="Y85:Y101" si="154">+Q85/O85</f>
        <v>0.99697337884444659</v>
      </c>
      <c r="Z85" s="85">
        <f t="shared" ref="Z85:Z94" si="155">+S85/G85</f>
        <v>1.4033956348909919</v>
      </c>
      <c r="AA85" s="88"/>
    </row>
    <row r="86" spans="1:39" ht="26" x14ac:dyDescent="0.35">
      <c r="A86" s="120" t="s">
        <v>122</v>
      </c>
      <c r="B86" s="125" t="s">
        <v>96</v>
      </c>
      <c r="C86" s="105">
        <v>1</v>
      </c>
      <c r="D86" s="106">
        <v>80000</v>
      </c>
      <c r="E86" s="92">
        <f t="shared" ref="E86:E91" si="156">C86*D86</f>
        <v>80000</v>
      </c>
      <c r="F86" s="99">
        <f t="shared" si="140"/>
        <v>52476560</v>
      </c>
      <c r="G86" s="98">
        <f t="shared" si="141"/>
        <v>52476560</v>
      </c>
      <c r="H86" s="99">
        <v>80000</v>
      </c>
      <c r="I86" s="49">
        <f>3213824+2340000</f>
        <v>5553824</v>
      </c>
      <c r="J86" s="33">
        <f t="shared" si="142"/>
        <v>8466.7501070954349</v>
      </c>
      <c r="K86" s="49">
        <v>8299620</v>
      </c>
      <c r="L86" s="33">
        <f t="shared" si="143"/>
        <v>12652.689124439559</v>
      </c>
      <c r="M86" s="69">
        <f t="shared" si="144"/>
        <v>13853444</v>
      </c>
      <c r="N86" s="70">
        <f t="shared" si="145"/>
        <v>21119.439231534994</v>
      </c>
      <c r="O86" s="61">
        <v>22958495</v>
      </c>
      <c r="P86" s="32">
        <f t="shared" si="146"/>
        <v>35000</v>
      </c>
      <c r="Q86" s="71">
        <v>18452300</v>
      </c>
      <c r="R86" s="74">
        <f t="shared" si="147"/>
        <v>28130.350007698675</v>
      </c>
      <c r="S86" s="77">
        <f t="shared" si="148"/>
        <v>32305744</v>
      </c>
      <c r="T86" s="78">
        <f t="shared" si="149"/>
        <v>49249.789239233673</v>
      </c>
      <c r="U86" s="79">
        <f t="shared" si="150"/>
        <v>4506195</v>
      </c>
      <c r="V86" s="42">
        <f t="shared" si="151"/>
        <v>6869.6499923013243</v>
      </c>
      <c r="W86" s="49">
        <f t="shared" si="152"/>
        <v>20170816</v>
      </c>
      <c r="X86" s="33">
        <f t="shared" si="153"/>
        <v>30750.210760766331</v>
      </c>
      <c r="Y86" s="85">
        <f t="shared" si="154"/>
        <v>0.80372428593424783</v>
      </c>
      <c r="Z86" s="85">
        <f t="shared" si="155"/>
        <v>0.61562236549042082</v>
      </c>
      <c r="AA86" s="88"/>
    </row>
    <row r="87" spans="1:39" ht="26" x14ac:dyDescent="0.35">
      <c r="A87" s="120" t="s">
        <v>123</v>
      </c>
      <c r="B87" s="125" t="s">
        <v>96</v>
      </c>
      <c r="C87" s="105">
        <v>1</v>
      </c>
      <c r="D87" s="106">
        <v>25000</v>
      </c>
      <c r="E87" s="92">
        <f t="shared" si="156"/>
        <v>25000</v>
      </c>
      <c r="F87" s="99">
        <f t="shared" si="140"/>
        <v>16398925</v>
      </c>
      <c r="G87" s="98">
        <f t="shared" si="141"/>
        <v>16398925</v>
      </c>
      <c r="H87" s="99">
        <v>25000</v>
      </c>
      <c r="I87" s="49"/>
      <c r="J87" s="33">
        <f t="shared" si="142"/>
        <v>0</v>
      </c>
      <c r="K87" s="49"/>
      <c r="L87" s="33">
        <f t="shared" si="143"/>
        <v>0</v>
      </c>
      <c r="M87" s="69">
        <f t="shared" si="144"/>
        <v>0</v>
      </c>
      <c r="N87" s="70">
        <f t="shared" si="145"/>
        <v>0</v>
      </c>
      <c r="O87" s="61">
        <v>8199462.5</v>
      </c>
      <c r="P87" s="32">
        <f t="shared" si="146"/>
        <v>12500</v>
      </c>
      <c r="Q87" s="71">
        <f>3044700+1981412</f>
        <v>5026112</v>
      </c>
      <c r="R87" s="74">
        <f t="shared" si="147"/>
        <v>7662.2583492515514</v>
      </c>
      <c r="S87" s="77">
        <f t="shared" si="148"/>
        <v>5026112</v>
      </c>
      <c r="T87" s="78">
        <f t="shared" si="149"/>
        <v>7662.2583492515514</v>
      </c>
      <c r="U87" s="79">
        <f t="shared" si="150"/>
        <v>3173350.5</v>
      </c>
      <c r="V87" s="42">
        <f t="shared" si="151"/>
        <v>4837.7416507484486</v>
      </c>
      <c r="W87" s="49">
        <f t="shared" si="152"/>
        <v>11372813</v>
      </c>
      <c r="X87" s="33">
        <f t="shared" si="153"/>
        <v>17337.741650748449</v>
      </c>
      <c r="Y87" s="85">
        <f t="shared" si="154"/>
        <v>0.61298066794012407</v>
      </c>
      <c r="Z87" s="85">
        <f t="shared" si="155"/>
        <v>0.30649033397006203</v>
      </c>
      <c r="AA87" s="88"/>
    </row>
    <row r="88" spans="1:39" x14ac:dyDescent="0.35">
      <c r="A88" s="120" t="s">
        <v>124</v>
      </c>
      <c r="B88" s="125" t="s">
        <v>96</v>
      </c>
      <c r="C88" s="105">
        <v>4</v>
      </c>
      <c r="D88" s="106">
        <v>8000</v>
      </c>
      <c r="E88" s="92">
        <f t="shared" si="156"/>
        <v>32000</v>
      </c>
      <c r="F88" s="99">
        <f t="shared" si="140"/>
        <v>20990624</v>
      </c>
      <c r="G88" s="98">
        <f t="shared" si="141"/>
        <v>20990624</v>
      </c>
      <c r="H88" s="99">
        <v>32000</v>
      </c>
      <c r="I88" s="49"/>
      <c r="J88" s="33">
        <f t="shared" si="142"/>
        <v>0</v>
      </c>
      <c r="K88" s="49"/>
      <c r="L88" s="33">
        <f t="shared" si="143"/>
        <v>0</v>
      </c>
      <c r="M88" s="69">
        <f t="shared" si="144"/>
        <v>0</v>
      </c>
      <c r="N88" s="70">
        <f t="shared" si="145"/>
        <v>0</v>
      </c>
      <c r="O88" s="61">
        <v>10495312</v>
      </c>
      <c r="P88" s="32">
        <f t="shared" si="146"/>
        <v>16000</v>
      </c>
      <c r="Q88" s="71">
        <v>7000000</v>
      </c>
      <c r="R88" s="74">
        <f t="shared" si="147"/>
        <v>10671.431206618727</v>
      </c>
      <c r="S88" s="77">
        <f t="shared" si="148"/>
        <v>7000000</v>
      </c>
      <c r="T88" s="78">
        <f t="shared" si="149"/>
        <v>10671.431206618727</v>
      </c>
      <c r="U88" s="79">
        <f t="shared" si="150"/>
        <v>3495312</v>
      </c>
      <c r="V88" s="42">
        <f t="shared" si="151"/>
        <v>5328.5687933812733</v>
      </c>
      <c r="W88" s="49">
        <f t="shared" si="152"/>
        <v>13990624</v>
      </c>
      <c r="X88" s="33">
        <f t="shared" si="153"/>
        <v>21328.568793381273</v>
      </c>
      <c r="Y88" s="85">
        <f t="shared" si="154"/>
        <v>0.66696445041367036</v>
      </c>
      <c r="Z88" s="85">
        <f t="shared" si="155"/>
        <v>0.33348222520683518</v>
      </c>
      <c r="AA88" s="88"/>
    </row>
    <row r="89" spans="1:39" x14ac:dyDescent="0.35">
      <c r="A89" s="120" t="s">
        <v>125</v>
      </c>
      <c r="B89" s="125" t="s">
        <v>96</v>
      </c>
      <c r="C89" s="105">
        <v>8</v>
      </c>
      <c r="D89" s="106">
        <v>3100</v>
      </c>
      <c r="E89" s="92">
        <f t="shared" si="156"/>
        <v>24800</v>
      </c>
      <c r="F89" s="99">
        <f t="shared" si="140"/>
        <v>16267733.6</v>
      </c>
      <c r="G89" s="98">
        <f t="shared" si="141"/>
        <v>16267733.6</v>
      </c>
      <c r="H89" s="99">
        <v>24800</v>
      </c>
      <c r="I89" s="49"/>
      <c r="J89" s="33">
        <f t="shared" si="142"/>
        <v>0</v>
      </c>
      <c r="K89" s="49">
        <v>3237000</v>
      </c>
      <c r="L89" s="33">
        <f t="shared" si="143"/>
        <v>4934.7746879749739</v>
      </c>
      <c r="M89" s="69">
        <f t="shared" si="144"/>
        <v>3237000</v>
      </c>
      <c r="N89" s="70">
        <f t="shared" si="145"/>
        <v>4934.7746879749739</v>
      </c>
      <c r="O89" s="61">
        <v>4066933.4</v>
      </c>
      <c r="P89" s="32">
        <f t="shared" si="146"/>
        <v>6200</v>
      </c>
      <c r="Q89" s="71"/>
      <c r="R89" s="74">
        <f t="shared" si="147"/>
        <v>0</v>
      </c>
      <c r="S89" s="77">
        <f t="shared" si="148"/>
        <v>3237000</v>
      </c>
      <c r="T89" s="78">
        <f t="shared" si="149"/>
        <v>4934.7746879749739</v>
      </c>
      <c r="U89" s="79">
        <f>O89-Q89</f>
        <v>4066933.4</v>
      </c>
      <c r="V89" s="42">
        <f t="shared" si="151"/>
        <v>6200</v>
      </c>
      <c r="W89" s="49">
        <f t="shared" si="152"/>
        <v>13030733.6</v>
      </c>
      <c r="X89" s="33">
        <f t="shared" si="153"/>
        <v>19865.225312025024</v>
      </c>
      <c r="Y89" s="85">
        <f t="shared" si="154"/>
        <v>0</v>
      </c>
      <c r="Z89" s="85">
        <f t="shared" si="155"/>
        <v>0.19898285032157154</v>
      </c>
      <c r="AA89" s="88"/>
    </row>
    <row r="90" spans="1:39" ht="26" x14ac:dyDescent="0.35">
      <c r="A90" s="120" t="s">
        <v>126</v>
      </c>
      <c r="B90" s="125" t="s">
        <v>96</v>
      </c>
      <c r="C90" s="105">
        <v>1</v>
      </c>
      <c r="D90" s="106">
        <v>20000</v>
      </c>
      <c r="E90" s="92">
        <f t="shared" si="156"/>
        <v>20000</v>
      </c>
      <c r="F90" s="99">
        <f t="shared" si="140"/>
        <v>13119140</v>
      </c>
      <c r="G90" s="98">
        <f t="shared" si="141"/>
        <v>0</v>
      </c>
      <c r="H90" s="99">
        <v>0</v>
      </c>
      <c r="I90" s="49"/>
      <c r="J90" s="33">
        <f t="shared" si="142"/>
        <v>0</v>
      </c>
      <c r="K90" s="49"/>
      <c r="L90" s="33">
        <f t="shared" si="143"/>
        <v>0</v>
      </c>
      <c r="M90" s="69">
        <f>I90+K90</f>
        <v>0</v>
      </c>
      <c r="N90" s="70">
        <f t="shared" si="145"/>
        <v>0</v>
      </c>
      <c r="O90" s="61">
        <v>0</v>
      </c>
      <c r="P90" s="32">
        <f t="shared" si="146"/>
        <v>0</v>
      </c>
      <c r="Q90" s="71"/>
      <c r="R90" s="74">
        <f t="shared" si="147"/>
        <v>0</v>
      </c>
      <c r="S90" s="77">
        <f t="shared" si="148"/>
        <v>0</v>
      </c>
      <c r="T90" s="78">
        <f t="shared" si="149"/>
        <v>0</v>
      </c>
      <c r="U90" s="79">
        <f t="shared" si="150"/>
        <v>0</v>
      </c>
      <c r="V90" s="42">
        <f t="shared" si="151"/>
        <v>0</v>
      </c>
      <c r="W90" s="49">
        <f t="shared" si="152"/>
        <v>0</v>
      </c>
      <c r="X90" s="33">
        <f t="shared" si="153"/>
        <v>0</v>
      </c>
      <c r="Y90" s="85" t="e">
        <f t="shared" si="154"/>
        <v>#DIV/0!</v>
      </c>
      <c r="Z90" s="85" t="e">
        <f t="shared" si="155"/>
        <v>#DIV/0!</v>
      </c>
      <c r="AA90" s="88"/>
    </row>
    <row r="91" spans="1:39" x14ac:dyDescent="0.35">
      <c r="A91" s="120" t="s">
        <v>127</v>
      </c>
      <c r="B91" s="125" t="s">
        <v>96</v>
      </c>
      <c r="C91" s="105">
        <v>1</v>
      </c>
      <c r="D91" s="106">
        <v>35000</v>
      </c>
      <c r="E91" s="92">
        <f t="shared" si="156"/>
        <v>35000</v>
      </c>
      <c r="F91" s="99">
        <f>E91*655.957</f>
        <v>22958495</v>
      </c>
      <c r="G91" s="98">
        <f t="shared" si="141"/>
        <v>22958495</v>
      </c>
      <c r="H91" s="99">
        <v>35000</v>
      </c>
      <c r="I91" s="49"/>
      <c r="J91" s="33">
        <f t="shared" si="142"/>
        <v>0</v>
      </c>
      <c r="K91" s="49"/>
      <c r="L91" s="33">
        <f t="shared" si="143"/>
        <v>0</v>
      </c>
      <c r="M91" s="69">
        <f t="shared" si="144"/>
        <v>0</v>
      </c>
      <c r="N91" s="70">
        <f t="shared" si="145"/>
        <v>0</v>
      </c>
      <c r="O91" s="61">
        <v>22958495</v>
      </c>
      <c r="P91" s="32">
        <f t="shared" si="146"/>
        <v>35000</v>
      </c>
      <c r="Q91" s="71">
        <v>26540040</v>
      </c>
      <c r="R91" s="74">
        <f t="shared" si="147"/>
        <v>40460.03015441561</v>
      </c>
      <c r="S91" s="77">
        <f>+M91+Q91</f>
        <v>26540040</v>
      </c>
      <c r="T91" s="78">
        <f t="shared" si="149"/>
        <v>40460.03015441561</v>
      </c>
      <c r="U91" s="79">
        <f t="shared" si="150"/>
        <v>-3581545</v>
      </c>
      <c r="V91" s="42">
        <f t="shared" si="151"/>
        <v>-5460.03015441561</v>
      </c>
      <c r="W91" s="49">
        <f t="shared" si="152"/>
        <v>-3581545</v>
      </c>
      <c r="X91" s="33">
        <f t="shared" si="153"/>
        <v>-5460.03015441561</v>
      </c>
      <c r="Y91" s="85">
        <f t="shared" si="154"/>
        <v>1.1560008615547317</v>
      </c>
      <c r="Z91" s="85">
        <f t="shared" si="155"/>
        <v>1.1560008615547317</v>
      </c>
      <c r="AA91" s="88"/>
    </row>
    <row r="92" spans="1:39" x14ac:dyDescent="0.35">
      <c r="A92" s="137" t="s">
        <v>128</v>
      </c>
      <c r="B92" s="126"/>
      <c r="C92" s="38"/>
      <c r="D92" s="37"/>
      <c r="E92" s="39">
        <f>SUM(E85:E91)</f>
        <v>237800</v>
      </c>
      <c r="F92" s="54">
        <f>E92*655.957</f>
        <v>155986574.59999999</v>
      </c>
      <c r="G92" s="53">
        <f>SUM(G85:G91)</f>
        <v>142867434.59999999</v>
      </c>
      <c r="H92" s="54">
        <f>SUM(H85:H91)</f>
        <v>217800</v>
      </c>
      <c r="I92" s="133">
        <f t="shared" ref="I92:X92" si="157">SUM(I85:I91)</f>
        <v>5553824</v>
      </c>
      <c r="J92" s="54">
        <f t="shared" si="157"/>
        <v>8466.7501070954349</v>
      </c>
      <c r="K92" s="54">
        <f t="shared" si="157"/>
        <v>17135126</v>
      </c>
      <c r="L92" s="54">
        <f t="shared" si="157"/>
        <v>26122.331189391989</v>
      </c>
      <c r="M92" s="54">
        <f t="shared" si="157"/>
        <v>22688950</v>
      </c>
      <c r="N92" s="54">
        <f t="shared" si="157"/>
        <v>34589.08129648742</v>
      </c>
      <c r="O92" s="112">
        <f>SUM(O85:O91)</f>
        <v>82453794.900000006</v>
      </c>
      <c r="P92" s="54">
        <f>SUM(P85:P91)</f>
        <v>125700</v>
      </c>
      <c r="Q92" s="54">
        <f t="shared" si="157"/>
        <v>70751857</v>
      </c>
      <c r="R92" s="54">
        <f t="shared" si="157"/>
        <v>107860.51067371794</v>
      </c>
      <c r="S92" s="54">
        <f t="shared" si="157"/>
        <v>93440807</v>
      </c>
      <c r="T92" s="54">
        <f t="shared" si="157"/>
        <v>142449.59197020537</v>
      </c>
      <c r="U92" s="54">
        <f t="shared" si="157"/>
        <v>11701937.9</v>
      </c>
      <c r="V92" s="54">
        <f t="shared" si="157"/>
        <v>17839.489326282055</v>
      </c>
      <c r="W92" s="54">
        <f t="shared" si="157"/>
        <v>49426627.600000001</v>
      </c>
      <c r="X92" s="54">
        <f t="shared" si="157"/>
        <v>75350.408029794635</v>
      </c>
      <c r="Y92" s="115">
        <f t="shared" si="154"/>
        <v>0.85807884386410449</v>
      </c>
      <c r="Z92" s="115">
        <f t="shared" si="155"/>
        <v>0.65403853062536899</v>
      </c>
      <c r="AA92" s="115"/>
    </row>
    <row r="93" spans="1:39" x14ac:dyDescent="0.35">
      <c r="A93" s="137" t="s">
        <v>129</v>
      </c>
      <c r="B93" s="126"/>
      <c r="C93" s="38"/>
      <c r="D93" s="37"/>
      <c r="E93" s="39">
        <f>E61+E72+E83+E92</f>
        <v>1202232.658482187</v>
      </c>
      <c r="F93" s="54">
        <f>E93*655.957</f>
        <v>788612927.95999992</v>
      </c>
      <c r="G93" s="53">
        <f>G61+G72+G83+G92</f>
        <v>594284354.796</v>
      </c>
      <c r="H93" s="54">
        <f>H61+H72+H83+H92</f>
        <v>905980.65848218708</v>
      </c>
      <c r="I93" s="133">
        <f t="shared" ref="I93:X93" si="158">I61+I72+I83+I92</f>
        <v>138394538</v>
      </c>
      <c r="J93" s="54">
        <f t="shared" si="158"/>
        <v>210981.11309125443</v>
      </c>
      <c r="K93" s="54">
        <f t="shared" si="158"/>
        <v>198994730</v>
      </c>
      <c r="L93" s="54">
        <f t="shared" si="158"/>
        <v>303365.51023923827</v>
      </c>
      <c r="M93" s="54">
        <f t="shared" si="158"/>
        <v>337389268</v>
      </c>
      <c r="N93" s="54">
        <f t="shared" si="158"/>
        <v>514346.6233304927</v>
      </c>
      <c r="O93" s="112">
        <f t="shared" si="158"/>
        <v>249093111.18000001</v>
      </c>
      <c r="P93" s="54">
        <f t="shared" si="158"/>
        <v>379740</v>
      </c>
      <c r="Q93" s="54">
        <f>Q61+Q72+Q83+Q92</f>
        <v>232018281.90004</v>
      </c>
      <c r="R93" s="54">
        <f t="shared" si="158"/>
        <v>353709.59056773537</v>
      </c>
      <c r="S93" s="54">
        <f t="shared" si="158"/>
        <v>569407549.90004003</v>
      </c>
      <c r="T93" s="54">
        <f t="shared" si="158"/>
        <v>868056.21389822825</v>
      </c>
      <c r="U93" s="54">
        <f t="shared" si="158"/>
        <v>17074829.279959999</v>
      </c>
      <c r="V93" s="54">
        <f t="shared" si="158"/>
        <v>26030.409432264612</v>
      </c>
      <c r="W93" s="54">
        <f t="shared" si="158"/>
        <v>24876804.895959999</v>
      </c>
      <c r="X93" s="54">
        <f t="shared" si="158"/>
        <v>37924.444583959004</v>
      </c>
      <c r="Y93" s="115">
        <f t="shared" si="154"/>
        <v>0.93145202129808657</v>
      </c>
      <c r="Z93" s="115">
        <f t="shared" si="155"/>
        <v>0.9581398960023112</v>
      </c>
      <c r="AA93" s="115"/>
    </row>
    <row r="94" spans="1:39" x14ac:dyDescent="0.35">
      <c r="A94" s="138" t="s">
        <v>58</v>
      </c>
      <c r="B94" s="128"/>
      <c r="C94" s="40"/>
      <c r="D94" s="41"/>
      <c r="E94" s="39">
        <f>E45+E93</f>
        <v>1887597.658482187</v>
      </c>
      <c r="F94" s="54">
        <f>+E94*655.957</f>
        <v>1238182897.2649999</v>
      </c>
      <c r="G94" s="53">
        <f>G45+G93</f>
        <v>969836136.22100008</v>
      </c>
      <c r="H94" s="54">
        <f>H45+H93</f>
        <v>1478505.658482187</v>
      </c>
      <c r="I94" s="133">
        <f t="shared" ref="I94:X94" si="159">I45+I93</f>
        <v>240960645</v>
      </c>
      <c r="J94" s="54">
        <f t="shared" si="159"/>
        <v>367342.13523142517</v>
      </c>
      <c r="K94" s="54">
        <f t="shared" si="159"/>
        <v>287400602.28250003</v>
      </c>
      <c r="L94" s="54">
        <f t="shared" si="159"/>
        <v>438139.39371406974</v>
      </c>
      <c r="M94" s="54">
        <f t="shared" si="159"/>
        <v>494508093.28249997</v>
      </c>
      <c r="N94" s="54">
        <f t="shared" si="159"/>
        <v>753872.72836862784</v>
      </c>
      <c r="O94" s="112">
        <f>O45+O93</f>
        <v>350813675.08399999</v>
      </c>
      <c r="P94" s="54">
        <f t="shared" si="159"/>
        <v>534812</v>
      </c>
      <c r="Q94" s="54">
        <f>Q45+Q93</f>
        <v>330997635.27693999</v>
      </c>
      <c r="R94" s="54">
        <f t="shared" si="159"/>
        <v>504602.64205876301</v>
      </c>
      <c r="S94" s="54">
        <f t="shared" si="159"/>
        <v>825505728.55944002</v>
      </c>
      <c r="T94" s="54">
        <f t="shared" si="159"/>
        <v>1258475.370427391</v>
      </c>
      <c r="U94" s="54">
        <f t="shared" si="159"/>
        <v>19816039.80706</v>
      </c>
      <c r="V94" s="54">
        <f t="shared" si="159"/>
        <v>30209.357941237002</v>
      </c>
      <c r="W94" s="54">
        <f t="shared" si="159"/>
        <v>144330407.66156</v>
      </c>
      <c r="X94" s="54">
        <f t="shared" si="159"/>
        <v>220030.28805479628</v>
      </c>
      <c r="Y94" s="115">
        <f t="shared" si="154"/>
        <v>0.94351406112570957</v>
      </c>
      <c r="Z94" s="115">
        <f t="shared" si="155"/>
        <v>0.85118062498274349</v>
      </c>
      <c r="AA94" s="115"/>
    </row>
    <row r="95" spans="1:39" ht="26" x14ac:dyDescent="0.35">
      <c r="A95" s="120" t="s">
        <v>59</v>
      </c>
      <c r="B95" s="125"/>
      <c r="C95" s="96"/>
      <c r="D95" s="100"/>
      <c r="E95" s="92">
        <f>E94*0/100</f>
        <v>0</v>
      </c>
      <c r="F95" s="99">
        <f>+E95*655.957</f>
        <v>0</v>
      </c>
      <c r="G95" s="98"/>
      <c r="H95" s="99"/>
      <c r="I95" s="49"/>
      <c r="J95" s="33"/>
      <c r="K95" s="49"/>
      <c r="L95" s="33"/>
      <c r="M95" s="69"/>
      <c r="N95" s="69"/>
      <c r="O95" s="61">
        <v>0</v>
      </c>
      <c r="P95" s="33">
        <f>+O95/655.957</f>
        <v>0</v>
      </c>
      <c r="Q95" s="71">
        <v>0</v>
      </c>
      <c r="R95" s="74">
        <f t="shared" ref="R95" si="160">+Q95/655.957</f>
        <v>0</v>
      </c>
      <c r="S95" s="77"/>
      <c r="T95" s="78"/>
      <c r="U95" s="49"/>
      <c r="V95" s="33"/>
      <c r="W95" s="49"/>
      <c r="X95" s="33"/>
      <c r="Y95" s="88"/>
      <c r="Z95" s="88"/>
      <c r="AA95" s="88"/>
    </row>
    <row r="96" spans="1:39" x14ac:dyDescent="0.35">
      <c r="A96" s="138" t="s">
        <v>60</v>
      </c>
      <c r="B96" s="128"/>
      <c r="C96" s="40"/>
      <c r="D96" s="41"/>
      <c r="E96" s="39">
        <f>E94+E95</f>
        <v>1887597.658482187</v>
      </c>
      <c r="F96" s="54">
        <f>+E96*655.957</f>
        <v>1238182897.2649999</v>
      </c>
      <c r="G96" s="53">
        <f>G94+G95</f>
        <v>969836136.22100008</v>
      </c>
      <c r="H96" s="54">
        <f t="shared" ref="H96" si="161">H94+H95</f>
        <v>1478505.658482187</v>
      </c>
      <c r="I96" s="133">
        <f t="shared" ref="I96" si="162">I94+I95</f>
        <v>240960645</v>
      </c>
      <c r="J96" s="54">
        <f t="shared" ref="J96" si="163">J94+J95</f>
        <v>367342.13523142517</v>
      </c>
      <c r="K96" s="54">
        <f t="shared" ref="K96" si="164">K94+K95</f>
        <v>287400602.28250003</v>
      </c>
      <c r="L96" s="54">
        <f t="shared" ref="L96" si="165">L94+L95</f>
        <v>438139.39371406974</v>
      </c>
      <c r="M96" s="54">
        <f t="shared" ref="M96" si="166">M94+M95</f>
        <v>494508093.28249997</v>
      </c>
      <c r="N96" s="54">
        <f t="shared" ref="N96" si="167">N94+N95</f>
        <v>753872.72836862784</v>
      </c>
      <c r="O96" s="112">
        <f>O94+O95</f>
        <v>350813675.08399999</v>
      </c>
      <c r="P96" s="54">
        <f>P94+P95</f>
        <v>534812</v>
      </c>
      <c r="Q96" s="54">
        <f>Q94+Q95</f>
        <v>330997635.27693999</v>
      </c>
      <c r="R96" s="54">
        <f t="shared" ref="R96" si="168">R94+R95</f>
        <v>504602.64205876301</v>
      </c>
      <c r="S96" s="54">
        <f t="shared" ref="S96" si="169">S94+S95</f>
        <v>825505728.55944002</v>
      </c>
      <c r="T96" s="54">
        <f t="shared" ref="T96" si="170">T94+T95</f>
        <v>1258475.370427391</v>
      </c>
      <c r="U96" s="54">
        <f t="shared" ref="U96" si="171">U94+U95</f>
        <v>19816039.80706</v>
      </c>
      <c r="V96" s="54">
        <f t="shared" ref="V96" si="172">V94+V95</f>
        <v>30209.357941237002</v>
      </c>
      <c r="W96" s="54">
        <f t="shared" ref="W96" si="173">W94+W95</f>
        <v>144330407.66156</v>
      </c>
      <c r="X96" s="54">
        <f t="shared" ref="X96" si="174">X94+X95</f>
        <v>220030.28805479628</v>
      </c>
      <c r="Y96" s="115">
        <f t="shared" si="154"/>
        <v>0.94351406112570957</v>
      </c>
      <c r="Z96" s="115">
        <f t="shared" ref="Z96" si="175">Z94+Z95</f>
        <v>0.85118062498274349</v>
      </c>
      <c r="AA96" s="115"/>
    </row>
    <row r="97" spans="1:27" ht="26" x14ac:dyDescent="0.35">
      <c r="A97" s="120" t="s">
        <v>61</v>
      </c>
      <c r="B97" s="125"/>
      <c r="C97" s="107">
        <v>8.2173741318337198E-2</v>
      </c>
      <c r="D97" s="100"/>
      <c r="E97" s="92">
        <v>162402.34151781304</v>
      </c>
      <c r="F97" s="99">
        <f>+E97*655.957</f>
        <v>106528952.73500009</v>
      </c>
      <c r="G97" s="98">
        <f>+H97*655.957</f>
        <v>79695063.779000089</v>
      </c>
      <c r="H97" s="99">
        <v>121494.34151781304</v>
      </c>
      <c r="I97" s="49">
        <f>+I96*C97-10</f>
        <v>19800627.710129682</v>
      </c>
      <c r="J97" s="33">
        <f t="shared" ref="J97" si="176">+I97/655.957</f>
        <v>30185.862350931056</v>
      </c>
      <c r="K97" s="49">
        <f>+K96*C97</f>
        <v>23616782.746696468</v>
      </c>
      <c r="L97" s="33">
        <f t="shared" ref="L97" si="177">+K97/655.957</f>
        <v>36003.55320043306</v>
      </c>
      <c r="M97" s="69">
        <f t="shared" ref="M97" si="178">I97+K97</f>
        <v>43417410.45682615</v>
      </c>
      <c r="N97" s="70">
        <f t="shared" ref="N97" si="179">+J97+L97</f>
        <v>66189.415551364116</v>
      </c>
      <c r="O97" s="61">
        <f>+O96*C97</f>
        <v>28827672.187287811</v>
      </c>
      <c r="P97" s="33">
        <f>+O97/655.957</f>
        <v>43947.502941942555</v>
      </c>
      <c r="Q97" s="71">
        <f>+Q96*C97</f>
        <v>27199314.05822859</v>
      </c>
      <c r="R97" s="74">
        <f>+Q97/655.957</f>
        <v>41465.086977086285</v>
      </c>
      <c r="S97" s="77">
        <f t="shared" ref="S97" si="180">+M97+Q97</f>
        <v>70616724.515054733</v>
      </c>
      <c r="T97" s="78">
        <f t="shared" ref="T97" si="181">+S97/655.957</f>
        <v>107654.50252845039</v>
      </c>
      <c r="U97" s="79">
        <f>O97-Q97</f>
        <v>1628358.1290592216</v>
      </c>
      <c r="V97" s="42">
        <f t="shared" ref="V97" si="182">U97/655.957</f>
        <v>2482.4159648562659</v>
      </c>
      <c r="W97" s="49">
        <f t="shared" ref="W97" si="183">+G97-S97</f>
        <v>9078339.263945356</v>
      </c>
      <c r="X97" s="33">
        <f t="shared" ref="X97" si="184">W97/655.957</f>
        <v>13839.83898936265</v>
      </c>
      <c r="Y97" s="85">
        <f t="shared" si="154"/>
        <v>0.94351406112570957</v>
      </c>
      <c r="Z97" s="85">
        <f>+S97/G97</f>
        <v>0.88608655500772027</v>
      </c>
      <c r="AA97" s="88"/>
    </row>
    <row r="98" spans="1:27" x14ac:dyDescent="0.35">
      <c r="A98" s="138" t="s">
        <v>62</v>
      </c>
      <c r="B98" s="128"/>
      <c r="C98" s="40"/>
      <c r="D98" s="41"/>
      <c r="E98" s="39">
        <f>E96+E97</f>
        <v>2050000</v>
      </c>
      <c r="F98" s="54">
        <f>E98*655.957</f>
        <v>1344711850</v>
      </c>
      <c r="G98" s="53">
        <f>G96+G97</f>
        <v>1049531200.0000001</v>
      </c>
      <c r="H98" s="54">
        <f>H96+H97</f>
        <v>1600000</v>
      </c>
      <c r="I98" s="133">
        <f t="shared" ref="I98:W98" si="185">I96+I97</f>
        <v>260761272.71012968</v>
      </c>
      <c r="J98" s="54">
        <f t="shared" si="185"/>
        <v>397527.99758235621</v>
      </c>
      <c r="K98" s="54">
        <f t="shared" si="185"/>
        <v>311017385.0291965</v>
      </c>
      <c r="L98" s="54">
        <f t="shared" si="185"/>
        <v>474142.94691450277</v>
      </c>
      <c r="M98" s="54">
        <f t="shared" si="185"/>
        <v>537925503.73932612</v>
      </c>
      <c r="N98" s="54">
        <f t="shared" si="185"/>
        <v>820062.14391999191</v>
      </c>
      <c r="O98" s="112">
        <f>O96+O97+20990.62</f>
        <v>379662337.8912878</v>
      </c>
      <c r="P98" s="54">
        <f>P96+P97</f>
        <v>578759.50294194254</v>
      </c>
      <c r="Q98" s="54">
        <f>Q96+Q97</f>
        <v>358196949.3351686</v>
      </c>
      <c r="R98" s="54">
        <f>R96+R97</f>
        <v>546067.72903584933</v>
      </c>
      <c r="S98" s="54">
        <f t="shared" si="185"/>
        <v>896122453.07449472</v>
      </c>
      <c r="T98" s="54">
        <f t="shared" si="185"/>
        <v>1366129.8729558415</v>
      </c>
      <c r="U98" s="54">
        <f t="shared" si="185"/>
        <v>21444397.936119221</v>
      </c>
      <c r="V98" s="54">
        <f t="shared" si="185"/>
        <v>32691.773906093269</v>
      </c>
      <c r="W98" s="54">
        <f t="shared" si="185"/>
        <v>153408746.92550534</v>
      </c>
      <c r="X98" s="54">
        <f>X96+X97</f>
        <v>233870.12704415893</v>
      </c>
      <c r="Y98" s="115">
        <f t="shared" si="154"/>
        <v>0.94346189649639256</v>
      </c>
      <c r="Z98" s="115">
        <f t="shared" ref="Z98:Z101" si="186">+S98/G98</f>
        <v>0.85383117059740066</v>
      </c>
      <c r="AA98" s="88"/>
    </row>
    <row r="99" spans="1:27" x14ac:dyDescent="0.35">
      <c r="A99" s="139" t="s">
        <v>63</v>
      </c>
      <c r="B99" s="128"/>
      <c r="C99" s="40"/>
      <c r="D99" s="41"/>
      <c r="E99" s="41"/>
      <c r="F99" s="58">
        <f>+E99*655.957</f>
        <v>0</v>
      </c>
      <c r="G99" s="57"/>
      <c r="H99" s="58"/>
      <c r="I99" s="134"/>
      <c r="J99" s="58"/>
      <c r="K99" s="58"/>
      <c r="L99" s="58"/>
      <c r="M99" s="58"/>
      <c r="N99" s="58"/>
      <c r="O99" s="113"/>
      <c r="P99" s="58"/>
      <c r="Q99" s="58"/>
      <c r="R99" s="58"/>
      <c r="S99" s="58"/>
      <c r="T99" s="58"/>
      <c r="U99" s="58"/>
      <c r="V99" s="58"/>
      <c r="W99" s="58"/>
      <c r="X99" s="58"/>
      <c r="Y99" s="115" t="e">
        <f t="shared" si="154"/>
        <v>#DIV/0!</v>
      </c>
      <c r="Z99" s="115" t="e">
        <f t="shared" si="186"/>
        <v>#DIV/0!</v>
      </c>
      <c r="AA99" s="88"/>
    </row>
    <row r="100" spans="1:27" x14ac:dyDescent="0.35">
      <c r="A100" s="139" t="s">
        <v>64</v>
      </c>
      <c r="B100" s="128"/>
      <c r="C100" s="40"/>
      <c r="D100" s="41"/>
      <c r="E100" s="41"/>
      <c r="F100" s="58">
        <f>+E100*655.957</f>
        <v>0</v>
      </c>
      <c r="G100" s="57"/>
      <c r="H100" s="58"/>
      <c r="I100" s="134"/>
      <c r="J100" s="58"/>
      <c r="K100" s="58"/>
      <c r="L100" s="58"/>
      <c r="M100" s="58"/>
      <c r="N100" s="58"/>
      <c r="O100" s="113"/>
      <c r="P100" s="58"/>
      <c r="Q100" s="58"/>
      <c r="R100" s="58"/>
      <c r="S100" s="58"/>
      <c r="T100" s="58"/>
      <c r="U100" s="58"/>
      <c r="V100" s="58"/>
      <c r="W100" s="58"/>
      <c r="X100" s="58"/>
      <c r="Y100" s="115" t="e">
        <f t="shared" si="154"/>
        <v>#DIV/0!</v>
      </c>
      <c r="Z100" s="115" t="e">
        <f t="shared" si="186"/>
        <v>#DIV/0!</v>
      </c>
      <c r="AA100" s="88"/>
    </row>
    <row r="101" spans="1:27" ht="26.5" thickBot="1" x14ac:dyDescent="0.4">
      <c r="A101" s="140" t="s">
        <v>65</v>
      </c>
      <c r="B101" s="129"/>
      <c r="C101" s="130"/>
      <c r="D101" s="131"/>
      <c r="E101" s="132">
        <f>E98</f>
        <v>2050000</v>
      </c>
      <c r="F101" s="60">
        <f>F98</f>
        <v>1344711850</v>
      </c>
      <c r="G101" s="59">
        <f>G98</f>
        <v>1049531200.0000001</v>
      </c>
      <c r="H101" s="60">
        <f>+H98</f>
        <v>1600000</v>
      </c>
      <c r="I101" s="135">
        <f t="shared" ref="I101:X101" si="187">+I98</f>
        <v>260761272.71012968</v>
      </c>
      <c r="J101" s="60">
        <f t="shared" si="187"/>
        <v>397527.99758235621</v>
      </c>
      <c r="K101" s="60">
        <f t="shared" si="187"/>
        <v>311017385.0291965</v>
      </c>
      <c r="L101" s="60">
        <f t="shared" si="187"/>
        <v>474142.94691450277</v>
      </c>
      <c r="M101" s="60">
        <f t="shared" si="187"/>
        <v>537925503.73932612</v>
      </c>
      <c r="N101" s="60">
        <f t="shared" si="187"/>
        <v>820062.14391999191</v>
      </c>
      <c r="O101" s="114">
        <f t="shared" si="187"/>
        <v>379662337.8912878</v>
      </c>
      <c r="P101" s="60">
        <f t="shared" si="187"/>
        <v>578759.50294194254</v>
      </c>
      <c r="Q101" s="60">
        <f t="shared" si="187"/>
        <v>358196949.3351686</v>
      </c>
      <c r="R101" s="60">
        <f t="shared" si="187"/>
        <v>546067.72903584933</v>
      </c>
      <c r="S101" s="60">
        <f t="shared" si="187"/>
        <v>896122453.07449472</v>
      </c>
      <c r="T101" s="60">
        <f t="shared" si="187"/>
        <v>1366129.8729558415</v>
      </c>
      <c r="U101" s="60">
        <f t="shared" si="187"/>
        <v>21444397.936119221</v>
      </c>
      <c r="V101" s="60">
        <f t="shared" si="187"/>
        <v>32691.773906093269</v>
      </c>
      <c r="W101" s="60">
        <f t="shared" si="187"/>
        <v>153408746.92550534</v>
      </c>
      <c r="X101" s="60">
        <f t="shared" si="187"/>
        <v>233870.12704415893</v>
      </c>
      <c r="Y101" s="141">
        <f t="shared" si="154"/>
        <v>0.94346189649639256</v>
      </c>
      <c r="Z101" s="142">
        <f t="shared" si="186"/>
        <v>0.85383117059740066</v>
      </c>
      <c r="AA101" s="143"/>
    </row>
    <row r="104" spans="1:27" x14ac:dyDescent="0.35">
      <c r="O104" s="108" t="s">
        <v>0</v>
      </c>
    </row>
  </sheetData>
  <mergeCells count="13">
    <mergeCell ref="W11:X11"/>
    <mergeCell ref="AA11:AA12"/>
    <mergeCell ref="G11:H11"/>
    <mergeCell ref="B11:F11"/>
    <mergeCell ref="I11:J11"/>
    <mergeCell ref="K11:L11"/>
    <mergeCell ref="Q11:R11"/>
    <mergeCell ref="S11:T11"/>
    <mergeCell ref="M11:N11"/>
    <mergeCell ref="O11:P11"/>
    <mergeCell ref="U11:V11"/>
    <mergeCell ref="Y11:Y12"/>
    <mergeCell ref="Z11:Z12"/>
  </mergeCells>
  <pageMargins left="0.7" right="0.7" top="0.75" bottom="0.75" header="0.3" footer="0.3"/>
  <pageSetup paperSize="9" scal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73054-6495-488A-914F-4E5495C1A169}">
  <dimension ref="B3:I26"/>
  <sheetViews>
    <sheetView workbookViewId="0">
      <selection activeCell="B5" sqref="B5"/>
    </sheetView>
  </sheetViews>
  <sheetFormatPr baseColWidth="10" defaultRowHeight="14.5" x14ac:dyDescent="0.35"/>
  <cols>
    <col min="1" max="1" width="3.54296875" style="151" customWidth="1"/>
    <col min="2" max="2" width="47.36328125" style="150" customWidth="1"/>
    <col min="3" max="8" width="12.7265625" style="151" customWidth="1"/>
    <col min="9" max="9" width="14" style="151" customWidth="1"/>
    <col min="10" max="16384" width="10.90625" style="151"/>
  </cols>
  <sheetData>
    <row r="3" spans="2:9" ht="15.5" x14ac:dyDescent="0.35">
      <c r="B3" s="212" t="s">
        <v>67</v>
      </c>
    </row>
    <row r="6" spans="2:9" ht="15" thickBot="1" x14ac:dyDescent="0.4"/>
    <row r="7" spans="2:9" ht="15" thickBot="1" x14ac:dyDescent="0.4">
      <c r="B7" s="144" t="s">
        <v>9</v>
      </c>
      <c r="C7" s="210" t="s">
        <v>72</v>
      </c>
      <c r="D7" s="211"/>
      <c r="E7" s="210" t="s">
        <v>69</v>
      </c>
      <c r="F7" s="211"/>
      <c r="G7" s="210" t="s">
        <v>73</v>
      </c>
      <c r="H7" s="211"/>
      <c r="I7" s="208" t="s">
        <v>74</v>
      </c>
    </row>
    <row r="8" spans="2:9" ht="21.5" customHeight="1" thickBot="1" x14ac:dyDescent="0.4">
      <c r="B8" s="152" t="s">
        <v>12</v>
      </c>
      <c r="C8" s="153" t="s">
        <v>19</v>
      </c>
      <c r="D8" s="154" t="s">
        <v>20</v>
      </c>
      <c r="E8" s="153" t="s">
        <v>19</v>
      </c>
      <c r="F8" s="154" t="s">
        <v>20</v>
      </c>
      <c r="G8" s="155" t="s">
        <v>19</v>
      </c>
      <c r="H8" s="154" t="s">
        <v>20</v>
      </c>
      <c r="I8" s="209"/>
    </row>
    <row r="9" spans="2:9" x14ac:dyDescent="0.35">
      <c r="B9" s="156" t="s">
        <v>18</v>
      </c>
      <c r="C9" s="157">
        <v>81477731</v>
      </c>
      <c r="D9" s="158">
        <f>C9/655.957</f>
        <v>124212.00017684085</v>
      </c>
      <c r="E9" s="159">
        <v>78618226</v>
      </c>
      <c r="F9" s="158">
        <f>E9/655.957</f>
        <v>119852.71290648625</v>
      </c>
      <c r="G9" s="160">
        <f>+C9-E9</f>
        <v>2859505</v>
      </c>
      <c r="H9" s="158">
        <f>G9/655.957</f>
        <v>4359.2872703546118</v>
      </c>
      <c r="I9" s="161">
        <f>+E9/C9</f>
        <v>0.96490445960013294</v>
      </c>
    </row>
    <row r="10" spans="2:9" x14ac:dyDescent="0.35">
      <c r="B10" s="162" t="s">
        <v>36</v>
      </c>
      <c r="C10" s="163">
        <v>1810441</v>
      </c>
      <c r="D10" s="33">
        <f t="shared" ref="D10:F25" si="0">C10/655.957</f>
        <v>2759.999512163145</v>
      </c>
      <c r="E10" s="164">
        <v>1681267</v>
      </c>
      <c r="F10" s="33">
        <f t="shared" si="0"/>
        <v>2563.0750186368923</v>
      </c>
      <c r="G10" s="49">
        <f t="shared" ref="G10:G17" si="1">+C10-E10</f>
        <v>129174</v>
      </c>
      <c r="H10" s="33">
        <f t="shared" ref="H10:H26" si="2">G10/655.957</f>
        <v>196.92449352625249</v>
      </c>
      <c r="I10" s="161">
        <f t="shared" ref="I10:I17" si="3">+E10/C10</f>
        <v>0.92865053321262614</v>
      </c>
    </row>
    <row r="11" spans="2:9" x14ac:dyDescent="0.35">
      <c r="B11" s="162" t="s">
        <v>41</v>
      </c>
      <c r="C11" s="163">
        <v>0</v>
      </c>
      <c r="D11" s="33">
        <f t="shared" si="0"/>
        <v>0</v>
      </c>
      <c r="E11" s="164">
        <v>0</v>
      </c>
      <c r="F11" s="33">
        <f t="shared" si="0"/>
        <v>0</v>
      </c>
      <c r="G11" s="49">
        <f t="shared" si="1"/>
        <v>0</v>
      </c>
      <c r="H11" s="33">
        <f t="shared" si="2"/>
        <v>0</v>
      </c>
      <c r="I11" s="161">
        <v>0</v>
      </c>
    </row>
    <row r="12" spans="2:9" x14ac:dyDescent="0.35">
      <c r="B12" s="162" t="s">
        <v>46</v>
      </c>
      <c r="C12" s="163">
        <v>18432392</v>
      </c>
      <c r="D12" s="33">
        <f t="shared" si="0"/>
        <v>28100.000457347051</v>
      </c>
      <c r="E12" s="164">
        <v>18679860</v>
      </c>
      <c r="F12" s="33">
        <f t="shared" si="0"/>
        <v>28477.262991324125</v>
      </c>
      <c r="G12" s="49">
        <f t="shared" si="1"/>
        <v>-247468</v>
      </c>
      <c r="H12" s="33">
        <f t="shared" si="2"/>
        <v>-377.26253397707472</v>
      </c>
      <c r="I12" s="161">
        <f t="shared" si="3"/>
        <v>1.013425712734408</v>
      </c>
    </row>
    <row r="13" spans="2:9" s="168" customFormat="1" ht="19" customHeight="1" x14ac:dyDescent="0.35">
      <c r="B13" s="165" t="s">
        <v>57</v>
      </c>
      <c r="C13" s="166">
        <f>SUM(C9:C12)</f>
        <v>101720564</v>
      </c>
      <c r="D13" s="166">
        <f t="shared" si="0"/>
        <v>155072.00014635106</v>
      </c>
      <c r="E13" s="167">
        <f>SUM(E9:E12)</f>
        <v>98979353</v>
      </c>
      <c r="F13" s="166">
        <f t="shared" si="0"/>
        <v>150893.05091644728</v>
      </c>
      <c r="G13" s="76">
        <f>SUM(G9:G12)</f>
        <v>2741211</v>
      </c>
      <c r="H13" s="166">
        <f t="shared" si="2"/>
        <v>4178.9492299037893</v>
      </c>
      <c r="I13" s="86"/>
    </row>
    <row r="14" spans="2:9" x14ac:dyDescent="0.35">
      <c r="B14" s="169" t="s">
        <v>76</v>
      </c>
      <c r="C14" s="170">
        <v>16097185</v>
      </c>
      <c r="D14" s="33">
        <f t="shared" si="0"/>
        <v>24540.000335387838</v>
      </c>
      <c r="E14" s="164">
        <v>16534326</v>
      </c>
      <c r="F14" s="33">
        <f t="shared" si="0"/>
        <v>25206.417493829627</v>
      </c>
      <c r="G14" s="49">
        <f t="shared" si="1"/>
        <v>-437141</v>
      </c>
      <c r="H14" s="33">
        <f t="shared" si="2"/>
        <v>-666.41715844178816</v>
      </c>
      <c r="I14" s="161">
        <f t="shared" si="3"/>
        <v>1.0271563630535401</v>
      </c>
    </row>
    <row r="15" spans="2:9" ht="26" x14ac:dyDescent="0.35">
      <c r="B15" s="169" t="s">
        <v>98</v>
      </c>
      <c r="C15" s="170">
        <v>90850045</v>
      </c>
      <c r="D15" s="33">
        <f t="shared" si="0"/>
        <v>138500.00076224509</v>
      </c>
      <c r="E15" s="164">
        <v>95322086</v>
      </c>
      <c r="F15" s="33">
        <f t="shared" si="0"/>
        <v>145317.58331719914</v>
      </c>
      <c r="G15" s="49">
        <f t="shared" si="1"/>
        <v>-4472041</v>
      </c>
      <c r="H15" s="33">
        <f t="shared" si="2"/>
        <v>-6817.5825549540596</v>
      </c>
      <c r="I15" s="161">
        <f t="shared" si="3"/>
        <v>1.0492244225085414</v>
      </c>
    </row>
    <row r="16" spans="2:9" ht="39" x14ac:dyDescent="0.35">
      <c r="B16" s="169" t="s">
        <v>109</v>
      </c>
      <c r="C16" s="170">
        <v>59692087</v>
      </c>
      <c r="D16" s="33">
        <f t="shared" si="0"/>
        <v>91000</v>
      </c>
      <c r="E16" s="164">
        <v>49410013</v>
      </c>
      <c r="F16" s="33">
        <f t="shared" si="0"/>
        <v>75325.079235376703</v>
      </c>
      <c r="G16" s="49">
        <f t="shared" si="1"/>
        <v>10282074</v>
      </c>
      <c r="H16" s="33">
        <f t="shared" si="2"/>
        <v>15674.920764623292</v>
      </c>
      <c r="I16" s="161">
        <f t="shared" si="3"/>
        <v>0.82774812346567817</v>
      </c>
    </row>
    <row r="17" spans="2:9" ht="26.5" thickBot="1" x14ac:dyDescent="0.4">
      <c r="B17" s="171" t="s">
        <v>120</v>
      </c>
      <c r="C17" s="172">
        <v>82453795</v>
      </c>
      <c r="D17" s="173">
        <f t="shared" si="0"/>
        <v>125700.00015244902</v>
      </c>
      <c r="E17" s="174">
        <v>70751857</v>
      </c>
      <c r="F17" s="173">
        <f t="shared" si="0"/>
        <v>107860.51067371794</v>
      </c>
      <c r="G17" s="175">
        <f t="shared" si="1"/>
        <v>11701938</v>
      </c>
      <c r="H17" s="173">
        <f t="shared" si="2"/>
        <v>17839.489478731077</v>
      </c>
      <c r="I17" s="176">
        <f t="shared" si="3"/>
        <v>0.85807884282342617</v>
      </c>
    </row>
    <row r="18" spans="2:9" s="168" customFormat="1" ht="15" thickBot="1" x14ac:dyDescent="0.4">
      <c r="B18" s="177" t="s">
        <v>129</v>
      </c>
      <c r="C18" s="178">
        <f>SUM(C14:C17)</f>
        <v>249093112</v>
      </c>
      <c r="D18" s="178">
        <f t="shared" si="0"/>
        <v>379740.00125008193</v>
      </c>
      <c r="E18" s="178">
        <f>SUM(E14:E17)</f>
        <v>232018282</v>
      </c>
      <c r="F18" s="178">
        <f t="shared" si="0"/>
        <v>353709.59072012344</v>
      </c>
      <c r="G18" s="179">
        <f>SUM(G14:G17)</f>
        <v>17074830</v>
      </c>
      <c r="H18" s="178">
        <f t="shared" si="2"/>
        <v>26030.410529958517</v>
      </c>
      <c r="I18" s="180">
        <f>+E18/C18</f>
        <v>0.93145201863309657</v>
      </c>
    </row>
    <row r="19" spans="2:9" s="168" customFormat="1" ht="26.5" thickBot="1" x14ac:dyDescent="0.4">
      <c r="B19" s="181" t="s">
        <v>58</v>
      </c>
      <c r="C19" s="182">
        <f>C13+C18</f>
        <v>350813676</v>
      </c>
      <c r="D19" s="182">
        <f t="shared" si="0"/>
        <v>534812.00139643298</v>
      </c>
      <c r="E19" s="182">
        <f>E13+E18</f>
        <v>330997635</v>
      </c>
      <c r="F19" s="182">
        <f t="shared" si="0"/>
        <v>504602.64163657068</v>
      </c>
      <c r="G19" s="183">
        <f>G13+G18</f>
        <v>19816041</v>
      </c>
      <c r="H19" s="182">
        <f t="shared" si="2"/>
        <v>30209.359759862309</v>
      </c>
      <c r="I19" s="184">
        <f>+E19/C19</f>
        <v>0.94351405787270393</v>
      </c>
    </row>
    <row r="20" spans="2:9" ht="26.5" thickBot="1" x14ac:dyDescent="0.4">
      <c r="B20" s="185" t="s">
        <v>59</v>
      </c>
      <c r="C20" s="186">
        <v>0</v>
      </c>
      <c r="D20" s="186">
        <f t="shared" si="0"/>
        <v>0</v>
      </c>
      <c r="E20" s="187">
        <v>0</v>
      </c>
      <c r="F20" s="186">
        <f t="shared" si="0"/>
        <v>0</v>
      </c>
      <c r="G20" s="188"/>
      <c r="H20" s="186">
        <f t="shared" si="2"/>
        <v>0</v>
      </c>
      <c r="I20" s="189"/>
    </row>
    <row r="21" spans="2:9" s="168" customFormat="1" ht="15" thickBot="1" x14ac:dyDescent="0.4">
      <c r="B21" s="181" t="s">
        <v>60</v>
      </c>
      <c r="C21" s="182">
        <f>C19+C20</f>
        <v>350813676</v>
      </c>
      <c r="D21" s="182">
        <f t="shared" si="0"/>
        <v>534812.00139643298</v>
      </c>
      <c r="E21" s="182">
        <f>E19+E20</f>
        <v>330997635</v>
      </c>
      <c r="F21" s="182">
        <f t="shared" si="0"/>
        <v>504602.64163657068</v>
      </c>
      <c r="G21" s="183">
        <f t="shared" ref="G21" si="4">G19+G20</f>
        <v>19816041</v>
      </c>
      <c r="H21" s="182">
        <f t="shared" si="2"/>
        <v>30209.359759862309</v>
      </c>
      <c r="I21" s="184">
        <f>+E21/C21</f>
        <v>0.94351405787270393</v>
      </c>
    </row>
    <row r="22" spans="2:9" ht="26.5" thickBot="1" x14ac:dyDescent="0.4">
      <c r="B22" s="185" t="s">
        <v>61</v>
      </c>
      <c r="C22" s="186">
        <v>28827671.5</v>
      </c>
      <c r="D22" s="186">
        <f t="shared" si="0"/>
        <v>43947.50189417904</v>
      </c>
      <c r="E22" s="187">
        <v>27199314</v>
      </c>
      <c r="F22" s="186">
        <f t="shared" si="0"/>
        <v>41465.086888317375</v>
      </c>
      <c r="G22" s="190">
        <f>C22-E22</f>
        <v>1628357.5</v>
      </c>
      <c r="H22" s="186">
        <f t="shared" si="2"/>
        <v>2482.4150058616647</v>
      </c>
      <c r="I22" s="176">
        <f>+E22/C22</f>
        <v>0.94351408160038175</v>
      </c>
    </row>
    <row r="23" spans="2:9" s="168" customFormat="1" ht="15" thickBot="1" x14ac:dyDescent="0.4">
      <c r="B23" s="181" t="s">
        <v>62</v>
      </c>
      <c r="C23" s="182">
        <f>C21+C22+20990.62</f>
        <v>379662338.12</v>
      </c>
      <c r="D23" s="182">
        <f t="shared" si="0"/>
        <v>578791.50328451407</v>
      </c>
      <c r="E23" s="182">
        <f>E21+E22</f>
        <v>358196949</v>
      </c>
      <c r="F23" s="182">
        <f t="shared" si="0"/>
        <v>546067.72852488805</v>
      </c>
      <c r="G23" s="183">
        <f t="shared" ref="G23" si="5">G21+G22</f>
        <v>21444398.5</v>
      </c>
      <c r="H23" s="182">
        <f t="shared" si="2"/>
        <v>32691.774765723974</v>
      </c>
      <c r="I23" s="184">
        <f>+E23/C23</f>
        <v>0.94346189504523503</v>
      </c>
    </row>
    <row r="24" spans="2:9" s="168" customFormat="1" x14ac:dyDescent="0.35">
      <c r="B24" s="191" t="s">
        <v>63</v>
      </c>
      <c r="C24" s="192"/>
      <c r="D24" s="192">
        <f t="shared" si="0"/>
        <v>0</v>
      </c>
      <c r="E24" s="192"/>
      <c r="F24" s="192">
        <f t="shared" si="0"/>
        <v>0</v>
      </c>
      <c r="G24" s="193"/>
      <c r="H24" s="192">
        <f t="shared" si="2"/>
        <v>0</v>
      </c>
      <c r="I24" s="194">
        <v>0</v>
      </c>
    </row>
    <row r="25" spans="2:9" s="168" customFormat="1" ht="15" thickBot="1" x14ac:dyDescent="0.4">
      <c r="B25" s="195" t="s">
        <v>64</v>
      </c>
      <c r="C25" s="196"/>
      <c r="D25" s="196">
        <f t="shared" si="0"/>
        <v>0</v>
      </c>
      <c r="E25" s="196"/>
      <c r="F25" s="196">
        <f t="shared" si="0"/>
        <v>0</v>
      </c>
      <c r="G25" s="60"/>
      <c r="H25" s="196">
        <f t="shared" si="2"/>
        <v>0</v>
      </c>
      <c r="I25" s="197">
        <v>0</v>
      </c>
    </row>
    <row r="26" spans="2:9" s="168" customFormat="1" ht="24" thickBot="1" x14ac:dyDescent="0.4">
      <c r="B26" s="181" t="s">
        <v>65</v>
      </c>
      <c r="C26" s="182">
        <f t="shared" ref="C26:G26" si="6">+C23</f>
        <v>379662338.12</v>
      </c>
      <c r="D26" s="182">
        <f t="shared" ref="D26:F26" si="7">C26/655.957</f>
        <v>578791.50328451407</v>
      </c>
      <c r="E26" s="182">
        <f t="shared" si="6"/>
        <v>358196949</v>
      </c>
      <c r="F26" s="182">
        <f t="shared" si="7"/>
        <v>546067.72852488805</v>
      </c>
      <c r="G26" s="183">
        <f t="shared" si="6"/>
        <v>21444398.5</v>
      </c>
      <c r="H26" s="182">
        <f t="shared" si="2"/>
        <v>32691.774765723974</v>
      </c>
      <c r="I26" s="198">
        <f>+E26/C26</f>
        <v>0.94346189504523503</v>
      </c>
    </row>
  </sheetData>
  <mergeCells count="4">
    <mergeCell ref="C7:D7"/>
    <mergeCell ref="E7:F7"/>
    <mergeCell ref="G7:H7"/>
    <mergeCell ref="I7:I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RAPPORT FINANCIER RAPPID_2024</vt:lpstr>
      <vt:lpstr>DEPENSES 2024 PAR RUBRIQUES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2025-02-24T16:59:39Z</cp:lastPrinted>
  <dcterms:created xsi:type="dcterms:W3CDTF">2024-11-21T08:30:54Z</dcterms:created>
  <dcterms:modified xsi:type="dcterms:W3CDTF">2025-02-26T12:15:12Z</dcterms:modified>
</cp:coreProperties>
</file>