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eaf57836c1535e/Desktop/RAPPID/"/>
    </mc:Choice>
  </mc:AlternateContent>
  <xr:revisionPtr revIDLastSave="93" documentId="8_{4E083EE2-0CE6-4BF3-B401-1EB8DB2ADFC7}" xr6:coauthVersionLast="47" xr6:coauthVersionMax="47" xr10:uidLastSave="{077DBFD4-DF0B-4752-AC93-B08E76C5015E}"/>
  <bookViews>
    <workbookView xWindow="11424" yWindow="0" windowWidth="11712" windowHeight="12336" xr2:uid="{DE02ACC6-9484-4F64-AC52-5007E41519DA}"/>
  </bookViews>
  <sheets>
    <sheet name="PTA RAPPID 2026" sheetId="1" r:id="rId1"/>
  </sheets>
  <definedNames>
    <definedName name="_xlnm._FilterDatabase" localSheetId="0" hidden="1">'PTA RAPPID 2026'!$A$4:$R$84</definedName>
    <definedName name="_xlnm.Print_Titles" localSheetId="0">'PTA RAPPID 2026'!$4:$5</definedName>
    <definedName name="_xlnm.Print_Area" localSheetId="0">'PTA RAPPID 2026'!$A$1:$R$83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81" i="1"/>
  <c r="F79" i="1"/>
  <c r="M77" i="1"/>
  <c r="L73" i="1"/>
  <c r="M73" i="1" s="1"/>
  <c r="E73" i="1"/>
  <c r="F73" i="1" s="1"/>
  <c r="G73" i="1" s="1"/>
  <c r="H73" i="1" s="1"/>
  <c r="L72" i="1"/>
  <c r="M72" i="1" s="1"/>
  <c r="E72" i="1"/>
  <c r="F72" i="1" s="1"/>
  <c r="G72" i="1" s="1"/>
  <c r="H72" i="1" s="1"/>
  <c r="L71" i="1"/>
  <c r="M71" i="1" s="1"/>
  <c r="E71" i="1"/>
  <c r="F71" i="1" s="1"/>
  <c r="G71" i="1" s="1"/>
  <c r="H71" i="1" s="1"/>
  <c r="L70" i="1"/>
  <c r="M70" i="1" s="1"/>
  <c r="E70" i="1"/>
  <c r="F70" i="1" s="1"/>
  <c r="G70" i="1" s="1"/>
  <c r="L67" i="1"/>
  <c r="M67" i="1" s="1"/>
  <c r="G67" i="1"/>
  <c r="E67" i="1"/>
  <c r="F67" i="1" s="1"/>
  <c r="L66" i="1"/>
  <c r="M66" i="1" s="1"/>
  <c r="E66" i="1"/>
  <c r="F66" i="1" s="1"/>
  <c r="L65" i="1"/>
  <c r="M65" i="1" s="1"/>
  <c r="E65" i="1"/>
  <c r="L64" i="1"/>
  <c r="M64" i="1" s="1"/>
  <c r="E64" i="1"/>
  <c r="F64" i="1" s="1"/>
  <c r="G64" i="1" s="1"/>
  <c r="H64" i="1" s="1"/>
  <c r="L63" i="1"/>
  <c r="M63" i="1" s="1"/>
  <c r="E63" i="1"/>
  <c r="F63" i="1" s="1"/>
  <c r="L60" i="1"/>
  <c r="M60" i="1" s="1"/>
  <c r="E60" i="1"/>
  <c r="F60" i="1" s="1"/>
  <c r="L59" i="1"/>
  <c r="M59" i="1" s="1"/>
  <c r="E59" i="1"/>
  <c r="F59" i="1" s="1"/>
  <c r="G59" i="1" s="1"/>
  <c r="H59" i="1" s="1"/>
  <c r="M58" i="1"/>
  <c r="E58" i="1"/>
  <c r="L55" i="1"/>
  <c r="M55" i="1" s="1"/>
  <c r="K54" i="1"/>
  <c r="L54" i="1" s="1"/>
  <c r="M54" i="1" s="1"/>
  <c r="E54" i="1"/>
  <c r="F54" i="1" s="1"/>
  <c r="G54" i="1" s="1"/>
  <c r="H54" i="1" s="1"/>
  <c r="M53" i="1"/>
  <c r="L53" i="1"/>
  <c r="E53" i="1"/>
  <c r="F53" i="1" s="1"/>
  <c r="G53" i="1" s="1"/>
  <c r="H53" i="1" s="1"/>
  <c r="K52" i="1"/>
  <c r="L52" i="1" s="1"/>
  <c r="M52" i="1" s="1"/>
  <c r="D52" i="1"/>
  <c r="E52" i="1" s="1"/>
  <c r="F52" i="1" s="1"/>
  <c r="G52" i="1" s="1"/>
  <c r="H52" i="1" s="1"/>
  <c r="L51" i="1"/>
  <c r="M51" i="1" s="1"/>
  <c r="E51" i="1"/>
  <c r="F51" i="1" s="1"/>
  <c r="G51" i="1" s="1"/>
  <c r="H51" i="1" s="1"/>
  <c r="L50" i="1"/>
  <c r="M50" i="1" s="1"/>
  <c r="E50" i="1"/>
  <c r="F50" i="1" s="1"/>
  <c r="G50" i="1" s="1"/>
  <c r="H50" i="1" s="1"/>
  <c r="L49" i="1"/>
  <c r="M49" i="1" s="1"/>
  <c r="E49" i="1"/>
  <c r="F49" i="1" s="1"/>
  <c r="G49" i="1" s="1"/>
  <c r="H49" i="1" s="1"/>
  <c r="L48" i="1"/>
  <c r="M48" i="1" s="1"/>
  <c r="E48" i="1"/>
  <c r="F48" i="1" s="1"/>
  <c r="G48" i="1" s="1"/>
  <c r="H48" i="1" s="1"/>
  <c r="L47" i="1"/>
  <c r="M47" i="1" s="1"/>
  <c r="C47" i="1"/>
  <c r="E47" i="1" s="1"/>
  <c r="F47" i="1" s="1"/>
  <c r="G47" i="1" s="1"/>
  <c r="H47" i="1" s="1"/>
  <c r="L46" i="1"/>
  <c r="M46" i="1" s="1"/>
  <c r="C46" i="1"/>
  <c r="E46" i="1" s="1"/>
  <c r="F46" i="1" s="1"/>
  <c r="G46" i="1" s="1"/>
  <c r="H46" i="1" s="1"/>
  <c r="L45" i="1"/>
  <c r="M45" i="1" s="1"/>
  <c r="E45" i="1"/>
  <c r="F45" i="1" s="1"/>
  <c r="G45" i="1" s="1"/>
  <c r="H45" i="1" s="1"/>
  <c r="L44" i="1"/>
  <c r="M44" i="1" s="1"/>
  <c r="E44" i="1"/>
  <c r="F44" i="1" s="1"/>
  <c r="G44" i="1" s="1"/>
  <c r="H44" i="1" s="1"/>
  <c r="L43" i="1"/>
  <c r="M43" i="1" s="1"/>
  <c r="E43" i="1"/>
  <c r="F43" i="1" s="1"/>
  <c r="G43" i="1" s="1"/>
  <c r="H43" i="1" s="1"/>
  <c r="L42" i="1"/>
  <c r="M42" i="1" s="1"/>
  <c r="E42" i="1"/>
  <c r="F42" i="1" s="1"/>
  <c r="G42" i="1" s="1"/>
  <c r="H42" i="1" s="1"/>
  <c r="L41" i="1"/>
  <c r="G41" i="1"/>
  <c r="E41" i="1"/>
  <c r="F41" i="1" s="1"/>
  <c r="H37" i="1"/>
  <c r="L36" i="1"/>
  <c r="M36" i="1" s="1"/>
  <c r="G36" i="1"/>
  <c r="E36" i="1"/>
  <c r="F36" i="1" s="1"/>
  <c r="L35" i="1"/>
  <c r="M35" i="1" s="1"/>
  <c r="G35" i="1"/>
  <c r="E35" i="1"/>
  <c r="F35" i="1" s="1"/>
  <c r="K34" i="1"/>
  <c r="L34" i="1" s="1"/>
  <c r="M34" i="1" s="1"/>
  <c r="G34" i="1"/>
  <c r="E34" i="1"/>
  <c r="F34" i="1" s="1"/>
  <c r="K33" i="1"/>
  <c r="L33" i="1" s="1"/>
  <c r="M33" i="1" s="1"/>
  <c r="G33" i="1"/>
  <c r="E33" i="1"/>
  <c r="F33" i="1" s="1"/>
  <c r="K32" i="1"/>
  <c r="L32" i="1" s="1"/>
  <c r="M32" i="1" s="1"/>
  <c r="G32" i="1"/>
  <c r="E32" i="1"/>
  <c r="F32" i="1" s="1"/>
  <c r="L31" i="1"/>
  <c r="M31" i="1" s="1"/>
  <c r="G31" i="1"/>
  <c r="E31" i="1"/>
  <c r="F31" i="1" s="1"/>
  <c r="L30" i="1"/>
  <c r="G30" i="1"/>
  <c r="E30" i="1"/>
  <c r="F30" i="1" s="1"/>
  <c r="F29" i="1"/>
  <c r="L27" i="1"/>
  <c r="M27" i="1" s="1"/>
  <c r="E27" i="1"/>
  <c r="F27" i="1" s="1"/>
  <c r="G27" i="1" s="1"/>
  <c r="H27" i="1" s="1"/>
  <c r="L26" i="1"/>
  <c r="M26" i="1" s="1"/>
  <c r="E26" i="1"/>
  <c r="F25" i="1"/>
  <c r="L23" i="1"/>
  <c r="M23" i="1" s="1"/>
  <c r="E23" i="1"/>
  <c r="F23" i="1" s="1"/>
  <c r="G23" i="1" s="1"/>
  <c r="H23" i="1" s="1"/>
  <c r="L22" i="1"/>
  <c r="M22" i="1" s="1"/>
  <c r="E22" i="1"/>
  <c r="F22" i="1" s="1"/>
  <c r="G22" i="1" s="1"/>
  <c r="H22" i="1" s="1"/>
  <c r="E21" i="1"/>
  <c r="F21" i="1" s="1"/>
  <c r="K18" i="1"/>
  <c r="L18" i="1" s="1"/>
  <c r="M18" i="1" s="1"/>
  <c r="D18" i="1"/>
  <c r="C18" i="1"/>
  <c r="K17" i="1"/>
  <c r="L17" i="1" s="1"/>
  <c r="M17" i="1" s="1"/>
  <c r="D17" i="1"/>
  <c r="C17" i="1"/>
  <c r="K16" i="1"/>
  <c r="L16" i="1" s="1"/>
  <c r="M16" i="1" s="1"/>
  <c r="D16" i="1"/>
  <c r="C16" i="1"/>
  <c r="L15" i="1"/>
  <c r="M15" i="1" s="1"/>
  <c r="E15" i="1"/>
  <c r="F15" i="1" s="1"/>
  <c r="G15" i="1" s="1"/>
  <c r="H15" i="1" s="1"/>
  <c r="L14" i="1"/>
  <c r="M14" i="1" s="1"/>
  <c r="E14" i="1"/>
  <c r="F14" i="1" s="1"/>
  <c r="G14" i="1" s="1"/>
  <c r="H14" i="1" s="1"/>
  <c r="K13" i="1"/>
  <c r="L13" i="1" s="1"/>
  <c r="M13" i="1" s="1"/>
  <c r="D13" i="1"/>
  <c r="E13" i="1" s="1"/>
  <c r="F13" i="1" s="1"/>
  <c r="G13" i="1" s="1"/>
  <c r="H13" i="1" s="1"/>
  <c r="L12" i="1"/>
  <c r="M12" i="1" s="1"/>
  <c r="E12" i="1"/>
  <c r="F12" i="1" s="1"/>
  <c r="G12" i="1" s="1"/>
  <c r="H12" i="1" s="1"/>
  <c r="L11" i="1"/>
  <c r="M11" i="1" s="1"/>
  <c r="E11" i="1"/>
  <c r="F11" i="1" s="1"/>
  <c r="G11" i="1" s="1"/>
  <c r="H11" i="1" s="1"/>
  <c r="L10" i="1"/>
  <c r="M10" i="1" s="1"/>
  <c r="E10" i="1"/>
  <c r="F10" i="1" s="1"/>
  <c r="G10" i="1" s="1"/>
  <c r="H10" i="1" s="1"/>
  <c r="K9" i="1"/>
  <c r="L9" i="1" s="1"/>
  <c r="M9" i="1" s="1"/>
  <c r="D9" i="1"/>
  <c r="E9" i="1" s="1"/>
  <c r="F9" i="1" s="1"/>
  <c r="G9" i="1" s="1"/>
  <c r="H9" i="1" s="1"/>
  <c r="K8" i="1"/>
  <c r="L8" i="1" s="1"/>
  <c r="D8" i="1"/>
  <c r="E8" i="1" s="1"/>
  <c r="E28" i="1" l="1"/>
  <c r="F28" i="1" s="1"/>
  <c r="E68" i="1"/>
  <c r="E16" i="1"/>
  <c r="F16" i="1" s="1"/>
  <c r="G16" i="1" s="1"/>
  <c r="H16" i="1" s="1"/>
  <c r="E61" i="1"/>
  <c r="E17" i="1"/>
  <c r="F17" i="1" s="1"/>
  <c r="G17" i="1" s="1"/>
  <c r="H17" i="1" s="1"/>
  <c r="F58" i="1"/>
  <c r="G58" i="1" s="1"/>
  <c r="E18" i="1"/>
  <c r="F18" i="1" s="1"/>
  <c r="G18" i="1" s="1"/>
  <c r="H18" i="1" s="1"/>
  <c r="L28" i="1"/>
  <c r="M28" i="1" s="1"/>
  <c r="G37" i="1"/>
  <c r="L68" i="1"/>
  <c r="M68" i="1" s="1"/>
  <c r="L61" i="1"/>
  <c r="M61" i="1" s="1"/>
  <c r="L56" i="1"/>
  <c r="M56" i="1" s="1"/>
  <c r="F8" i="1"/>
  <c r="G8" i="1" s="1"/>
  <c r="H70" i="1"/>
  <c r="H74" i="1" s="1"/>
  <c r="G74" i="1"/>
  <c r="F56" i="1"/>
  <c r="F37" i="1"/>
  <c r="F24" i="1"/>
  <c r="G21" i="1"/>
  <c r="L37" i="1"/>
  <c r="M37" i="1" s="1"/>
  <c r="G56" i="1"/>
  <c r="F61" i="1"/>
  <c r="L19" i="1"/>
  <c r="M8" i="1"/>
  <c r="H56" i="1"/>
  <c r="E24" i="1"/>
  <c r="F26" i="1"/>
  <c r="G26" i="1" s="1"/>
  <c r="E37" i="1"/>
  <c r="M41" i="1"/>
  <c r="E74" i="1"/>
  <c r="F74" i="1" s="1"/>
  <c r="E56" i="1"/>
  <c r="F65" i="1"/>
  <c r="F68" i="1" s="1"/>
  <c r="K21" i="1"/>
  <c r="L21" i="1" s="1"/>
  <c r="G63" i="1"/>
  <c r="M30" i="1"/>
  <c r="L74" i="1"/>
  <c r="M74" i="1" s="1"/>
  <c r="E75" i="1" l="1"/>
  <c r="F75" i="1" s="1"/>
  <c r="E19" i="1"/>
  <c r="E38" i="1" s="1"/>
  <c r="L75" i="1"/>
  <c r="M75" i="1" s="1"/>
  <c r="M19" i="1"/>
  <c r="H26" i="1"/>
  <c r="H28" i="1" s="1"/>
  <c r="G28" i="1"/>
  <c r="G68" i="1"/>
  <c r="H63" i="1"/>
  <c r="H68" i="1" s="1"/>
  <c r="L24" i="1"/>
  <c r="M24" i="1" s="1"/>
  <c r="M21" i="1"/>
  <c r="G61" i="1"/>
  <c r="H58" i="1"/>
  <c r="H61" i="1" s="1"/>
  <c r="H8" i="1"/>
  <c r="H19" i="1" s="1"/>
  <c r="G19" i="1"/>
  <c r="G24" i="1"/>
  <c r="H21" i="1"/>
  <c r="H24" i="1" s="1"/>
  <c r="G75" i="1" l="1"/>
  <c r="H38" i="1"/>
  <c r="F19" i="1"/>
  <c r="H75" i="1"/>
  <c r="G38" i="1"/>
  <c r="G76" i="1" s="1"/>
  <c r="G78" i="1" s="1"/>
  <c r="E76" i="1"/>
  <c r="F38" i="1"/>
  <c r="L38" i="1"/>
  <c r="H76" i="1" l="1"/>
  <c r="H78" i="1" s="1"/>
  <c r="M38" i="1"/>
  <c r="L76" i="1"/>
  <c r="F76" i="1"/>
  <c r="E77" i="1"/>
  <c r="F77" i="1" s="1"/>
  <c r="G79" i="1"/>
  <c r="H79" i="1" s="1"/>
  <c r="H80" i="1" l="1"/>
  <c r="H83" i="1" s="1"/>
  <c r="G80" i="1"/>
  <c r="G83" i="1" s="1"/>
  <c r="E78" i="1"/>
  <c r="L78" i="1"/>
  <c r="L79" i="1" s="1"/>
  <c r="M76" i="1"/>
  <c r="M78" i="1" l="1"/>
  <c r="M79" i="1"/>
  <c r="E80" i="1"/>
  <c r="F78" i="1"/>
  <c r="F80" i="1" l="1"/>
  <c r="F83" i="1" s="1"/>
  <c r="E83" i="1"/>
  <c r="L80" i="1"/>
  <c r="M80" i="1" l="1"/>
  <c r="S79" i="1" s="1"/>
  <c r="L83" i="1"/>
  <c r="M83" i="1" l="1"/>
  <c r="S75" i="1" l="1"/>
  <c r="S38" i="1"/>
  <c r="S83" i="1" l="1"/>
</calcChain>
</file>

<file path=xl/sharedStrings.xml><?xml version="1.0" encoding="utf-8"?>
<sst xmlns="http://schemas.openxmlformats.org/spreadsheetml/2006/main" count="216" uniqueCount="120">
  <si>
    <t>PROGRAMME PLURIANNUEL DE : RENFORCEMENT ET APPUI POUR DES PARTIS POLITIQUES INCLUSIFS ET DEMOCRATIQUES – RAPPID (2022-2026)</t>
  </si>
  <si>
    <t>BUDGET APPROVED RAPPID 2026</t>
  </si>
  <si>
    <t xml:space="preserve"> </t>
  </si>
  <si>
    <t>1. Budget de l’action</t>
  </si>
  <si>
    <t>Toutes les années</t>
  </si>
  <si>
    <t>SOURCE DE FINANCEMENT AMBASSADE DES PAYS-BAS</t>
  </si>
  <si>
    <t>BUDGET 2026</t>
  </si>
  <si>
    <t>JUSTIFICATION</t>
  </si>
  <si>
    <t>Coûts</t>
  </si>
  <si>
    <t>Unité</t>
  </si>
  <si>
    <t>Nº d'unités</t>
  </si>
  <si>
    <t>Valeur unitaire              (en EUR)</t>
  </si>
  <si>
    <t>Coût total                (en EUR)</t>
  </si>
  <si>
    <t>Coût total                (en FCFA)</t>
  </si>
  <si>
    <t>FCFA</t>
  </si>
  <si>
    <t>EUROS</t>
  </si>
  <si>
    <t>1. Ressources humaines</t>
  </si>
  <si>
    <t>NIMD/IGD</t>
  </si>
  <si>
    <t>1.1 Coordonnateur du projet 30%</t>
  </si>
  <si>
    <t>Par mois</t>
  </si>
  <si>
    <t>1.2 Responsable Administratif et Financier 50%</t>
  </si>
  <si>
    <t xml:space="preserve">1.3 Chargé de projet 100% </t>
  </si>
  <si>
    <t>1.4 Assistant Comptable projet 100%</t>
  </si>
  <si>
    <t>1.5 Secrétaire projet 100%</t>
  </si>
  <si>
    <t>1.6 Chargé suivi-évaluation du projet 50%</t>
  </si>
  <si>
    <t>1.7 Chauffeur coursier 100%</t>
  </si>
  <si>
    <t>1.8 Gardien 100%</t>
  </si>
  <si>
    <t xml:space="preserve">1.9 Technical assistance finance and control </t>
  </si>
  <si>
    <t>Par jour</t>
  </si>
  <si>
    <t>Par  jour</t>
  </si>
  <si>
    <t xml:space="preserve">Nécessaire pour la clôture financière et l'audit </t>
  </si>
  <si>
    <t>1.10 Technical assistance programme development, thematic advise and MEAL</t>
  </si>
  <si>
    <t xml:space="preserve">Principalement du temps pour la coordination et le MEAL </t>
  </si>
  <si>
    <t>1.11 Technical assistance political advise, lobby and advocacy</t>
  </si>
  <si>
    <t>Non prévu pour 2026</t>
  </si>
  <si>
    <t>Sous-total Ressources humaines</t>
  </si>
  <si>
    <t>2. Véhicules</t>
  </si>
  <si>
    <t xml:space="preserve">2.1. Achat véhicule </t>
  </si>
  <si>
    <t>2.2. Entretien véhicule</t>
  </si>
  <si>
    <t>2.3. Carburant véhicule</t>
  </si>
  <si>
    <t>Sous-total Véhicules</t>
  </si>
  <si>
    <t xml:space="preserve">3. Équipement informatiques </t>
  </si>
  <si>
    <t>3.1 Matériel informatique (Ordinateur secrétaire, Assistant Comptable, Chargé de Projet, Chargé de Programme Régional)</t>
  </si>
  <si>
    <t>Par personne</t>
  </si>
  <si>
    <t>3.2 Matériel informatique (imprimante)</t>
  </si>
  <si>
    <t>Sous-total Équipement</t>
  </si>
  <si>
    <t xml:space="preserve">4. Fournitures, consommables et frais financiers </t>
  </si>
  <si>
    <t xml:space="preserve">  </t>
  </si>
  <si>
    <t>4.1 Contribution Consommables - fournitures de bureau</t>
  </si>
  <si>
    <t>4.2 Contribution Location de bureaux</t>
  </si>
  <si>
    <t>4.3 Contribution communication</t>
  </si>
  <si>
    <t>4.4.Contribution électricité/eau</t>
  </si>
  <si>
    <t>4.5 Contribution office maintenance</t>
  </si>
  <si>
    <t xml:space="preserve">4.6 Contribution Coûts d'assurances </t>
  </si>
  <si>
    <t xml:space="preserve">Par an </t>
  </si>
  <si>
    <t>4.7 Services financiers (coûts de garantie bancaire, etc.)</t>
  </si>
  <si>
    <t>Sous-total office running costs</t>
  </si>
  <si>
    <t>Total Fonctionnement</t>
  </si>
  <si>
    <t>5. Activités</t>
  </si>
  <si>
    <t>Activités transversales</t>
  </si>
  <si>
    <t xml:space="preserve">A.0.1 Lancement officel et  présentation du programme </t>
  </si>
  <si>
    <t>Par atelier</t>
  </si>
  <si>
    <t>A.0.2 Atelier d’appropriation des acteurs de mise en œuvre sur les outils/approches ainsi que les procédures à utiliser dans le cadre du projet</t>
  </si>
  <si>
    <t>A.0.3 Etude de référence (semi interne)</t>
  </si>
  <si>
    <t>Par étude</t>
  </si>
  <si>
    <t>A.0.4 Elaboration d'un plan de communication et de visibilité</t>
  </si>
  <si>
    <t>A.0.5 Mise en place du Comité de suivi du projet et ateliers de planification et de revue semestriels et annuels </t>
  </si>
  <si>
    <t>A.0.6 Mission de suivi évaluation interne périodique et de mis en œuvre du projet</t>
  </si>
  <si>
    <t>Par mission</t>
  </si>
  <si>
    <t>Par  mission</t>
  </si>
  <si>
    <t>A.0.7 Mission de suivi évaluation externe et assurance qualité NIMD Pays-Bas</t>
  </si>
  <si>
    <t>A.0.8 Evaluations externes, à mi-parcours et finale (finale)</t>
  </si>
  <si>
    <t>A.0.9 Coûts d'audit/vérification des dépenses</t>
  </si>
  <si>
    <t>Par audit</t>
  </si>
  <si>
    <t>A.0.10 Actions de visibilité</t>
  </si>
  <si>
    <t>A.0.11 Atelier de capitalisation et de clôture du projet </t>
  </si>
  <si>
    <t>A.0.12 Facilitateur d'appui au projet</t>
  </si>
  <si>
    <t>A.0.13 Renforcement capacités IGD en appui aux partis politique et gouvernance</t>
  </si>
  <si>
    <t>Forfait</t>
  </si>
  <si>
    <t>A.0.14 Séances de travail périodiques avec les partis politiques (nouvelle activité)</t>
  </si>
  <si>
    <t>Par activité</t>
  </si>
  <si>
    <t>Evaluation finale du programme</t>
  </si>
  <si>
    <t>Par évaluation</t>
  </si>
  <si>
    <t>Sous-total Activités transversales</t>
  </si>
  <si>
    <t>R1 Résultat 1. Les partis politiques sont plus inclusifs, plus attractifs, plus représentatifs et performants</t>
  </si>
  <si>
    <t xml:space="preserve">A1-6 : Animer et faire fonctionner une école multipartite de la démocratie </t>
  </si>
  <si>
    <t>A1-7: Organiser des Animatiosn politiques villageoises et des causeries débats avec les communautés à la base (Sous l'arbre à palabres)</t>
  </si>
  <si>
    <t xml:space="preserve">A1-8 Créer des espaces de débats citoyens  (cafés politiques) </t>
  </si>
  <si>
    <t>Sous-total Résultat 1</t>
  </si>
  <si>
    <t>(R2) : L’environnement partisan et électoral béninois est favorable au rayonnement et à l’action efficace des partis politiques.</t>
  </si>
  <si>
    <t xml:space="preserve">A2-6: Organiser une Campagne de sensibilisation pour la paix en période électorale (Vote Fifa 229) </t>
  </si>
  <si>
    <t>A.2-9 Appuyer les Ministères sectoriels et les institutions en charge des élections dans leurs rôles et missions dans le système partisan et le système électoral et dans la sécurisation des élections</t>
  </si>
  <si>
    <t xml:space="preserve">A 2.10 Organiser une mission d'Observation des élections générale de 2026 </t>
  </si>
  <si>
    <t xml:space="preserve">A 2.11  Former des leaders locaux et relais communautaires sur la prévention des discours de haine </t>
  </si>
  <si>
    <t xml:space="preserve">A.2.12 Elaborer un code de bonne conduite électorale, avec engagement public des partis politiques et acteurs locaux </t>
  </si>
  <si>
    <t>Sous-total Résultat 2</t>
  </si>
  <si>
    <t>(R3) : Le dialogue interpartis est devenu un outil de prévention et règlement des crises politiques au Bénin</t>
  </si>
  <si>
    <t>A3-2 : Appuyer la mise en place et fonctionnement de la plateforme permanente de dialogue interpartis du Bénin et appui au fonctionnement de son secrétariat permanent.</t>
  </si>
  <si>
    <t xml:space="preserve">A3.10 : Appuyer le fonctionnement des cadres de concertation communaux  dans cinq (05) communes pour prévenir les crises politiques et communautaires </t>
  </si>
  <si>
    <r>
      <t xml:space="preserve">A 3.11  Faciliter le dialogue dans les cadres de concertation à l'échelle communale </t>
    </r>
    <r>
      <rPr>
        <b/>
        <i/>
        <sz val="10"/>
        <color theme="4"/>
        <rFont val="Calibri Light"/>
        <family val="2"/>
        <scheme val="major"/>
      </rPr>
      <t xml:space="preserve"> </t>
    </r>
  </si>
  <si>
    <r>
      <t>A 3.12. Organiser un Dialogue autour des jeunes militants de partis politiques sur la paix en période électorale</t>
    </r>
    <r>
      <rPr>
        <b/>
        <sz val="10"/>
        <color rgb="FFC00000"/>
        <rFont val="Calibri Light"/>
        <family val="2"/>
        <scheme val="major"/>
      </rPr>
      <t xml:space="preserve"> </t>
    </r>
  </si>
  <si>
    <t>Sous-total Résultat 3</t>
  </si>
  <si>
    <t>Total activités</t>
  </si>
  <si>
    <t>7.  Sous-total des coûts directs éligibles de l'action (1 à 6)</t>
  </si>
  <si>
    <t xml:space="preserve">8. Provision pour imprévus (maximum 5 % de la ligne 7 Sous-total des coûts directs éligibles de l’action </t>
  </si>
  <si>
    <t xml:space="preserve">9. Total des coûts directs éligibles de l'action (7+8) </t>
  </si>
  <si>
    <t xml:space="preserve">10. Coûts indirects (maximum 10 % de la ligne 7 Sous-total des coûts directs éligibles de l’action) </t>
  </si>
  <si>
    <t>11. Total des coûts éligibles (9+10)</t>
  </si>
  <si>
    <t>12.  - Taxes</t>
  </si>
  <si>
    <t>12.  - Contributions en nature</t>
  </si>
  <si>
    <t>13. Total des coûts acceptés de l'action (11+12)</t>
  </si>
  <si>
    <t>T1</t>
  </si>
  <si>
    <t>T2</t>
  </si>
  <si>
    <t>T3</t>
  </si>
  <si>
    <t>T4</t>
  </si>
  <si>
    <t>Trimestre 1</t>
  </si>
  <si>
    <t>Trimestre 2</t>
  </si>
  <si>
    <t>Trimestre 3</t>
  </si>
  <si>
    <t>Trimestre 4</t>
  </si>
  <si>
    <t>Audits 2025 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</si>
</sst>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-* #,##0\ _C_F_A_-;\-* #,##0\ _C_F_A_-;_-* &quot;-&quot;\ _C_F_A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 Light"/>
      <family val="2"/>
      <scheme val="major"/>
    </font>
    <font>
      <sz val="10"/>
      <name val="Calibri Light"/>
      <family val="2"/>
      <scheme val="major"/>
    </font>
    <font>
      <b/>
      <sz val="26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"/>
      <family val="2"/>
      <scheme val="minor"/>
    </font>
    <font>
      <b/>
      <i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i/>
      <sz val="10"/>
      <color theme="4"/>
      <name val="Calibri Light"/>
      <family val="2"/>
      <scheme val="major"/>
    </font>
    <font>
      <b/>
      <sz val="10"/>
      <color rgb="FFC00000"/>
      <name val="Calibri Light"/>
      <family val="2"/>
      <scheme val="major"/>
    </font>
    <font>
      <b/>
      <sz val="12"/>
      <name val="Calibri Light"/>
      <family val="2"/>
      <scheme val="major"/>
    </font>
    <font>
      <b/>
      <i/>
      <sz val="12"/>
      <name val="Calibri Light"/>
      <family val="2"/>
      <scheme val="major"/>
    </font>
    <font>
      <i/>
      <sz val="12"/>
      <name val="Calibri Light"/>
      <family val="2"/>
      <scheme val="maj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9" fontId="3" fillId="0" borderId="0" xfId="2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1" applyFont="1" applyAlignment="1">
      <alignment vertical="center"/>
    </xf>
    <xf numFmtId="164" fontId="5" fillId="0" borderId="0" xfId="0" applyNumberFormat="1" applyFont="1" applyAlignment="1">
      <alignment vertical="center"/>
    </xf>
    <xf numFmtId="165" fontId="5" fillId="0" borderId="0" xfId="1" applyFont="1" applyAlignment="1">
      <alignment horizontal="right" vertical="center"/>
    </xf>
    <xf numFmtId="165" fontId="3" fillId="0" borderId="0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right" vertical="center"/>
    </xf>
    <xf numFmtId="0" fontId="7" fillId="0" borderId="1" xfId="0" applyFont="1" applyBorder="1"/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right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3" fillId="5" borderId="1" xfId="1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9" fillId="5" borderId="1" xfId="0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 vertical="center" wrapText="1"/>
    </xf>
    <xf numFmtId="164" fontId="5" fillId="6" borderId="1" xfId="0" applyNumberFormat="1" applyFont="1" applyFill="1" applyBorder="1" applyAlignment="1">
      <alignment horizontal="right" vertical="center" wrapText="1"/>
    </xf>
    <xf numFmtId="164" fontId="10" fillId="5" borderId="1" xfId="0" applyNumberFormat="1" applyFont="1" applyFill="1" applyBorder="1" applyAlignment="1">
      <alignment vertical="center"/>
    </xf>
    <xf numFmtId="165" fontId="3" fillId="0" borderId="1" xfId="1" applyFont="1" applyBorder="1" applyAlignment="1">
      <alignment horizontal="justify" vertical="center" wrapText="1"/>
    </xf>
    <xf numFmtId="49" fontId="3" fillId="5" borderId="1" xfId="0" applyNumberFormat="1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right" vertical="center" wrapText="1"/>
    </xf>
    <xf numFmtId="164" fontId="8" fillId="7" borderId="1" xfId="0" applyNumberFormat="1" applyFont="1" applyFill="1" applyBorder="1" applyAlignment="1">
      <alignment horizontal="right" vertical="center" wrapText="1"/>
    </xf>
    <xf numFmtId="164" fontId="3" fillId="5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right" vertical="center"/>
    </xf>
    <xf numFmtId="9" fontId="3" fillId="5" borderId="1" xfId="2" applyFont="1" applyFill="1" applyBorder="1" applyAlignment="1">
      <alignment horizontal="right" vertical="center"/>
    </xf>
    <xf numFmtId="3" fontId="3" fillId="5" borderId="1" xfId="1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vertical="center"/>
    </xf>
    <xf numFmtId="164" fontId="13" fillId="7" borderId="1" xfId="0" applyNumberFormat="1" applyFont="1" applyFill="1" applyBorder="1" applyAlignment="1">
      <alignment vertical="center"/>
    </xf>
    <xf numFmtId="164" fontId="13" fillId="8" borderId="1" xfId="0" applyNumberFormat="1" applyFont="1" applyFill="1" applyBorder="1" applyAlignment="1">
      <alignment vertical="center"/>
    </xf>
    <xf numFmtId="0" fontId="14" fillId="7" borderId="1" xfId="0" applyFont="1" applyFill="1" applyBorder="1" applyAlignment="1">
      <alignment horizontal="right" vertical="center"/>
    </xf>
    <xf numFmtId="3" fontId="15" fillId="7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9" fontId="3" fillId="0" borderId="0" xfId="2" applyFont="1" applyAlignment="1">
      <alignment vertical="center"/>
    </xf>
    <xf numFmtId="165" fontId="3" fillId="0" borderId="0" xfId="1" applyFont="1" applyAlignment="1">
      <alignment vertical="center"/>
    </xf>
    <xf numFmtId="9" fontId="3" fillId="0" borderId="0" xfId="2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3">
    <cellStyle name="Milliers [0]" xfId="1" builtinId="6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EA8B-E493-4234-B963-73245D1A1C08}">
  <sheetPr>
    <tabColor rgb="FFFF0000"/>
    <pageSetUpPr fitToPage="1"/>
  </sheetPr>
  <dimension ref="A1:S85"/>
  <sheetViews>
    <sheetView tabSelected="1" view="pageBreakPreview" zoomScale="90" zoomScaleNormal="100" zoomScaleSheetLayoutView="90" workbookViewId="0">
      <pane xSplit="8" ySplit="5" topLeftCell="J54" activePane="bottomRight" state="frozen"/>
      <selection activeCell="N13" sqref="N13"/>
      <selection pane="topRight" activeCell="N13" sqref="N13"/>
      <selection pane="bottomLeft" activeCell="N13" sqref="N13"/>
      <selection pane="bottomRight" activeCell="J59" sqref="J59"/>
    </sheetView>
  </sheetViews>
  <sheetFormatPr baseColWidth="10" defaultColWidth="9.21875" defaultRowHeight="13.8" outlineLevelRow="1" outlineLevelCol="1" x14ac:dyDescent="0.3"/>
  <cols>
    <col min="1" max="1" width="78.21875" style="2" customWidth="1"/>
    <col min="2" max="2" width="11" style="2" hidden="1" customWidth="1" outlineLevel="1"/>
    <col min="3" max="3" width="7.21875" style="2" hidden="1" customWidth="1" outlineLevel="1"/>
    <col min="4" max="4" width="14.88671875" style="3" hidden="1" customWidth="1" outlineLevel="1"/>
    <col min="5" max="5" width="12.21875" style="3" hidden="1" customWidth="1" outlineLevel="1"/>
    <col min="6" max="7" width="21.109375" style="3" hidden="1" customWidth="1" outlineLevel="1"/>
    <col min="8" max="8" width="20.109375" style="3" hidden="1" customWidth="1" outlineLevel="1"/>
    <col min="9" max="9" width="12.21875" style="2" customWidth="1" collapsed="1"/>
    <col min="10" max="10" width="12.21875" style="11" customWidth="1"/>
    <col min="11" max="11" width="10.77734375" style="3" customWidth="1"/>
    <col min="12" max="12" width="17.88671875" style="2" customWidth="1"/>
    <col min="13" max="13" width="17.77734375" style="2" customWidth="1"/>
    <col min="14" max="14" width="11.44140625" style="92" customWidth="1"/>
    <col min="15" max="15" width="10.77734375" style="92" customWidth="1"/>
    <col min="16" max="16" width="11.77734375" style="92" customWidth="1"/>
    <col min="17" max="17" width="13.109375" style="92" customWidth="1"/>
    <col min="18" max="18" width="48.33203125" style="3" customWidth="1"/>
    <col min="19" max="19" width="21.6640625" style="2" customWidth="1"/>
    <col min="20" max="16384" width="9.21875" style="2"/>
  </cols>
  <sheetData>
    <row r="1" spans="1:18" ht="54" customHeight="1" x14ac:dyDescent="0.3">
      <c r="A1" s="1" t="s">
        <v>0</v>
      </c>
      <c r="J1" s="4"/>
    </row>
    <row r="2" spans="1:18" ht="40.049999999999997" customHeight="1" x14ac:dyDescent="0.3">
      <c r="A2" s="5" t="s">
        <v>1</v>
      </c>
      <c r="B2" s="6"/>
      <c r="C2" s="6"/>
      <c r="E2" s="7"/>
      <c r="F2" s="8"/>
      <c r="G2" s="8"/>
      <c r="H2" s="8"/>
      <c r="I2" s="7"/>
      <c r="J2" s="9"/>
      <c r="K2" s="6"/>
      <c r="L2" s="10" t="s">
        <v>2</v>
      </c>
      <c r="M2" s="10"/>
      <c r="N2" s="93"/>
      <c r="O2" s="93"/>
      <c r="P2" s="93"/>
      <c r="Q2" s="93"/>
      <c r="R2" s="8"/>
    </row>
    <row r="3" spans="1:18" ht="19.5" customHeight="1" x14ac:dyDescent="0.3">
      <c r="B3" s="6"/>
    </row>
    <row r="4" spans="1:18" ht="42" customHeight="1" x14ac:dyDescent="0.3">
      <c r="A4" s="12" t="s">
        <v>3</v>
      </c>
      <c r="B4" s="103" t="s">
        <v>4</v>
      </c>
      <c r="C4" s="103"/>
      <c r="D4" s="103"/>
      <c r="E4" s="103"/>
      <c r="F4" s="103"/>
      <c r="G4" s="104" t="s">
        <v>5</v>
      </c>
      <c r="H4" s="104"/>
      <c r="I4" s="105" t="s">
        <v>6</v>
      </c>
      <c r="J4" s="105"/>
      <c r="K4" s="105"/>
      <c r="L4" s="105"/>
      <c r="M4" s="105"/>
      <c r="N4" s="14" t="s">
        <v>115</v>
      </c>
      <c r="O4" s="14" t="s">
        <v>116</v>
      </c>
      <c r="P4" s="14" t="s">
        <v>117</v>
      </c>
      <c r="Q4" s="14" t="s">
        <v>118</v>
      </c>
      <c r="R4" s="105" t="s">
        <v>7</v>
      </c>
    </row>
    <row r="5" spans="1:18" ht="37.200000000000003" customHeight="1" x14ac:dyDescent="0.3">
      <c r="A5" s="13" t="s">
        <v>8</v>
      </c>
      <c r="B5" s="13" t="s">
        <v>9</v>
      </c>
      <c r="C5" s="13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 t="s">
        <v>15</v>
      </c>
      <c r="I5" s="14" t="s">
        <v>9</v>
      </c>
      <c r="J5" s="14" t="s">
        <v>10</v>
      </c>
      <c r="K5" s="16" t="s">
        <v>11</v>
      </c>
      <c r="L5" s="16" t="s">
        <v>12</v>
      </c>
      <c r="M5" s="16" t="s">
        <v>13</v>
      </c>
      <c r="N5" s="16"/>
      <c r="O5" s="16"/>
      <c r="P5" s="16"/>
      <c r="Q5" s="16"/>
      <c r="R5" s="105"/>
    </row>
    <row r="6" spans="1:18" ht="15" hidden="1" customHeight="1" x14ac:dyDescent="0.3">
      <c r="A6" s="17" t="s">
        <v>16</v>
      </c>
      <c r="B6" s="18"/>
      <c r="C6" s="19"/>
      <c r="D6" s="20"/>
      <c r="E6" s="21"/>
      <c r="F6" s="21"/>
      <c r="G6" s="21"/>
      <c r="H6" s="21"/>
      <c r="I6" s="22"/>
      <c r="J6" s="23"/>
      <c r="K6" s="24"/>
      <c r="L6" s="25"/>
      <c r="M6" s="25"/>
      <c r="N6" s="94"/>
      <c r="O6" s="94"/>
      <c r="P6" s="94"/>
      <c r="Q6" s="94"/>
      <c r="R6" s="25"/>
    </row>
    <row r="7" spans="1:18" ht="15" hidden="1" customHeight="1" x14ac:dyDescent="0.3">
      <c r="A7" s="12" t="s">
        <v>17</v>
      </c>
      <c r="B7" s="18"/>
      <c r="C7" s="19"/>
      <c r="D7" s="20"/>
      <c r="E7" s="21"/>
      <c r="F7" s="21"/>
      <c r="G7" s="21"/>
      <c r="H7" s="21"/>
      <c r="I7" s="22"/>
      <c r="J7" s="23"/>
      <c r="K7" s="24"/>
      <c r="L7" s="25"/>
      <c r="M7" s="25"/>
      <c r="N7" s="94"/>
      <c r="O7" s="94"/>
      <c r="P7" s="94"/>
      <c r="Q7" s="94"/>
      <c r="R7" s="25"/>
    </row>
    <row r="8" spans="1:18" ht="19.95" hidden="1" customHeight="1" x14ac:dyDescent="0.3">
      <c r="A8" s="26" t="s">
        <v>18</v>
      </c>
      <c r="B8" s="27" t="s">
        <v>19</v>
      </c>
      <c r="C8" s="28">
        <v>48</v>
      </c>
      <c r="D8" s="20">
        <f>2900*0.3</f>
        <v>870</v>
      </c>
      <c r="E8" s="29">
        <f t="shared" ref="E8:E18" si="0">C8*D8</f>
        <v>41760</v>
      </c>
      <c r="F8" s="29">
        <f t="shared" ref="F8:F18" si="1">+E8*655.957</f>
        <v>27392764.32</v>
      </c>
      <c r="G8" s="29">
        <f>+F8</f>
        <v>27392764.32</v>
      </c>
      <c r="H8" s="29">
        <f>+G8/655.957</f>
        <v>41760</v>
      </c>
      <c r="I8" s="30" t="s">
        <v>19</v>
      </c>
      <c r="J8" s="31">
        <v>7</v>
      </c>
      <c r="K8" s="32">
        <f>(2900*0.5)</f>
        <v>1450</v>
      </c>
      <c r="L8" s="33">
        <f t="shared" ref="L8:L18" si="2">J8*K8</f>
        <v>10150</v>
      </c>
      <c r="M8" s="33">
        <f>+L8*655.957</f>
        <v>6657963.5499999998</v>
      </c>
      <c r="N8" s="95"/>
      <c r="O8" s="95"/>
      <c r="P8" s="95"/>
      <c r="Q8" s="95"/>
      <c r="R8" s="34" t="s">
        <v>2</v>
      </c>
    </row>
    <row r="9" spans="1:18" ht="15" hidden="1" customHeight="1" x14ac:dyDescent="0.3">
      <c r="A9" s="26" t="s">
        <v>20</v>
      </c>
      <c r="B9" s="27" t="s">
        <v>19</v>
      </c>
      <c r="C9" s="35">
        <v>48</v>
      </c>
      <c r="D9" s="20">
        <f>2650*0.5</f>
        <v>1325</v>
      </c>
      <c r="E9" s="29">
        <f t="shared" si="0"/>
        <v>63600</v>
      </c>
      <c r="F9" s="29">
        <f t="shared" si="1"/>
        <v>41718865.200000003</v>
      </c>
      <c r="G9" s="29">
        <f t="shared" ref="G9:G18" si="3">+F9</f>
        <v>41718865.200000003</v>
      </c>
      <c r="H9" s="29">
        <f t="shared" ref="H9:H18" si="4">+G9/655.957</f>
        <v>63600.000000000007</v>
      </c>
      <c r="I9" s="30" t="s">
        <v>19</v>
      </c>
      <c r="J9" s="31">
        <v>7</v>
      </c>
      <c r="K9" s="32">
        <f>2650*0.5</f>
        <v>1325</v>
      </c>
      <c r="L9" s="33">
        <f>J9*K9</f>
        <v>9275</v>
      </c>
      <c r="M9" s="33">
        <f>+L9*655.957</f>
        <v>6084001.1749999998</v>
      </c>
      <c r="N9" s="95"/>
      <c r="O9" s="95"/>
      <c r="P9" s="95"/>
      <c r="Q9" s="95"/>
      <c r="R9" s="34"/>
    </row>
    <row r="10" spans="1:18" ht="15" hidden="1" customHeight="1" x14ac:dyDescent="0.3">
      <c r="A10" s="26" t="s">
        <v>21</v>
      </c>
      <c r="B10" s="27" t="s">
        <v>19</v>
      </c>
      <c r="C10" s="35">
        <v>48</v>
      </c>
      <c r="D10" s="20">
        <v>2200</v>
      </c>
      <c r="E10" s="29">
        <f t="shared" si="0"/>
        <v>105600</v>
      </c>
      <c r="F10" s="29">
        <f t="shared" si="1"/>
        <v>69269059.200000003</v>
      </c>
      <c r="G10" s="29">
        <f>+F10/2</f>
        <v>34634529.600000001</v>
      </c>
      <c r="H10" s="29">
        <f>+G10/655.957</f>
        <v>52800</v>
      </c>
      <c r="I10" s="30" t="s">
        <v>19</v>
      </c>
      <c r="J10" s="31">
        <v>7</v>
      </c>
      <c r="K10" s="32">
        <v>2200</v>
      </c>
      <c r="L10" s="33">
        <f t="shared" si="2"/>
        <v>15400</v>
      </c>
      <c r="M10" s="33">
        <f t="shared" ref="M10:M18" si="5">+L10*655.957</f>
        <v>10101737.800000001</v>
      </c>
      <c r="N10" s="95"/>
      <c r="O10" s="95"/>
      <c r="P10" s="95"/>
      <c r="Q10" s="95"/>
      <c r="R10" s="34"/>
    </row>
    <row r="11" spans="1:18" ht="15" hidden="1" customHeight="1" x14ac:dyDescent="0.3">
      <c r="A11" s="26" t="s">
        <v>22</v>
      </c>
      <c r="B11" s="27" t="s">
        <v>19</v>
      </c>
      <c r="C11" s="35">
        <v>48</v>
      </c>
      <c r="D11" s="20">
        <v>900</v>
      </c>
      <c r="E11" s="29">
        <f t="shared" si="0"/>
        <v>43200</v>
      </c>
      <c r="F11" s="29">
        <f t="shared" si="1"/>
        <v>28337342.399999999</v>
      </c>
      <c r="G11" s="29">
        <f>+F11/2</f>
        <v>14168671.199999999</v>
      </c>
      <c r="H11" s="29">
        <f t="shared" si="4"/>
        <v>21600</v>
      </c>
      <c r="I11" s="30" t="s">
        <v>19</v>
      </c>
      <c r="J11" s="31">
        <v>7</v>
      </c>
      <c r="K11" s="32">
        <v>800</v>
      </c>
      <c r="L11" s="33">
        <f t="shared" si="2"/>
        <v>5600</v>
      </c>
      <c r="M11" s="33">
        <f t="shared" si="5"/>
        <v>3673359.2</v>
      </c>
      <c r="N11" s="95"/>
      <c r="O11" s="95"/>
      <c r="P11" s="95"/>
      <c r="Q11" s="95"/>
      <c r="R11" s="34"/>
    </row>
    <row r="12" spans="1:18" ht="15" hidden="1" customHeight="1" x14ac:dyDescent="0.3">
      <c r="A12" s="26" t="s">
        <v>23</v>
      </c>
      <c r="B12" s="27" t="s">
        <v>19</v>
      </c>
      <c r="C12" s="35">
        <v>48</v>
      </c>
      <c r="D12" s="20">
        <v>600</v>
      </c>
      <c r="E12" s="29">
        <f t="shared" si="0"/>
        <v>28800</v>
      </c>
      <c r="F12" s="29">
        <f t="shared" si="1"/>
        <v>18891561.600000001</v>
      </c>
      <c r="G12" s="29">
        <f t="shared" si="3"/>
        <v>18891561.600000001</v>
      </c>
      <c r="H12" s="29">
        <f t="shared" si="4"/>
        <v>28800.000000000004</v>
      </c>
      <c r="I12" s="30" t="s">
        <v>19</v>
      </c>
      <c r="J12" s="31">
        <v>7</v>
      </c>
      <c r="K12" s="32">
        <v>600</v>
      </c>
      <c r="L12" s="33">
        <f t="shared" si="2"/>
        <v>4200</v>
      </c>
      <c r="M12" s="33">
        <f t="shared" si="5"/>
        <v>2755019.4</v>
      </c>
      <c r="N12" s="95"/>
      <c r="O12" s="95"/>
      <c r="P12" s="95"/>
      <c r="Q12" s="95"/>
      <c r="R12" s="34"/>
    </row>
    <row r="13" spans="1:18" ht="15" hidden="1" customHeight="1" x14ac:dyDescent="0.3">
      <c r="A13" s="26" t="s">
        <v>24</v>
      </c>
      <c r="B13" s="27" t="s">
        <v>19</v>
      </c>
      <c r="C13" s="35">
        <v>48</v>
      </c>
      <c r="D13" s="20">
        <f>2200*0.5</f>
        <v>1100</v>
      </c>
      <c r="E13" s="29">
        <f t="shared" si="0"/>
        <v>52800</v>
      </c>
      <c r="F13" s="29">
        <f t="shared" si="1"/>
        <v>34634529.600000001</v>
      </c>
      <c r="G13" s="29">
        <f t="shared" si="3"/>
        <v>34634529.600000001</v>
      </c>
      <c r="H13" s="29">
        <f t="shared" si="4"/>
        <v>52800</v>
      </c>
      <c r="I13" s="30" t="s">
        <v>19</v>
      </c>
      <c r="J13" s="31">
        <v>0</v>
      </c>
      <c r="K13" s="32">
        <f>2200*0.1</f>
        <v>220</v>
      </c>
      <c r="L13" s="33">
        <f>J13*K13</f>
        <v>0</v>
      </c>
      <c r="M13" s="33">
        <f t="shared" si="5"/>
        <v>0</v>
      </c>
      <c r="N13" s="95"/>
      <c r="O13" s="95"/>
      <c r="P13" s="95"/>
      <c r="Q13" s="95"/>
      <c r="R13" s="34"/>
    </row>
    <row r="14" spans="1:18" ht="15" hidden="1" customHeight="1" x14ac:dyDescent="0.3">
      <c r="A14" s="26" t="s">
        <v>25</v>
      </c>
      <c r="B14" s="27" t="s">
        <v>19</v>
      </c>
      <c r="C14" s="35">
        <v>48</v>
      </c>
      <c r="D14" s="20">
        <v>350</v>
      </c>
      <c r="E14" s="29">
        <f t="shared" si="0"/>
        <v>16800</v>
      </c>
      <c r="F14" s="29">
        <f t="shared" si="1"/>
        <v>11020077.6</v>
      </c>
      <c r="G14" s="29">
        <f t="shared" si="3"/>
        <v>11020077.6</v>
      </c>
      <c r="H14" s="29">
        <f t="shared" si="4"/>
        <v>16800</v>
      </c>
      <c r="I14" s="30" t="s">
        <v>19</v>
      </c>
      <c r="J14" s="31">
        <v>7</v>
      </c>
      <c r="K14" s="32">
        <v>350</v>
      </c>
      <c r="L14" s="33">
        <f t="shared" si="2"/>
        <v>2450</v>
      </c>
      <c r="M14" s="33">
        <f t="shared" si="5"/>
        <v>1607094.65</v>
      </c>
      <c r="N14" s="95"/>
      <c r="O14" s="95"/>
      <c r="P14" s="95"/>
      <c r="Q14" s="95"/>
      <c r="R14" s="34"/>
    </row>
    <row r="15" spans="1:18" ht="15" hidden="1" customHeight="1" x14ac:dyDescent="0.3">
      <c r="A15" s="26" t="s">
        <v>26</v>
      </c>
      <c r="B15" s="27" t="s">
        <v>19</v>
      </c>
      <c r="C15" s="35">
        <v>48</v>
      </c>
      <c r="D15" s="20">
        <v>310</v>
      </c>
      <c r="E15" s="29">
        <f t="shared" si="0"/>
        <v>14880</v>
      </c>
      <c r="F15" s="29">
        <f t="shared" si="1"/>
        <v>9760640.1600000001</v>
      </c>
      <c r="G15" s="29">
        <f>+F15/2</f>
        <v>4880320.08</v>
      </c>
      <c r="H15" s="29">
        <f t="shared" si="4"/>
        <v>7440</v>
      </c>
      <c r="I15" s="30" t="s">
        <v>19</v>
      </c>
      <c r="J15" s="31">
        <v>7</v>
      </c>
      <c r="K15" s="32">
        <v>310</v>
      </c>
      <c r="L15" s="33">
        <f t="shared" si="2"/>
        <v>2170</v>
      </c>
      <c r="M15" s="33">
        <f t="shared" si="5"/>
        <v>1423426.69</v>
      </c>
      <c r="N15" s="95"/>
      <c r="O15" s="95"/>
      <c r="P15" s="95"/>
      <c r="Q15" s="95"/>
      <c r="R15" s="34"/>
    </row>
    <row r="16" spans="1:18" ht="15" hidden="1" customHeight="1" outlineLevel="1" x14ac:dyDescent="0.3">
      <c r="A16" s="26" t="s">
        <v>27</v>
      </c>
      <c r="B16" s="27" t="s">
        <v>28</v>
      </c>
      <c r="C16" s="35">
        <f>2*12*4</f>
        <v>96</v>
      </c>
      <c r="D16" s="20">
        <f>8*60</f>
        <v>480</v>
      </c>
      <c r="E16" s="29">
        <f t="shared" si="0"/>
        <v>46080</v>
      </c>
      <c r="F16" s="29">
        <f>+E16*655.957</f>
        <v>30226498.559999999</v>
      </c>
      <c r="G16" s="29">
        <f t="shared" si="3"/>
        <v>30226498.559999999</v>
      </c>
      <c r="H16" s="29">
        <f t="shared" si="4"/>
        <v>46080</v>
      </c>
      <c r="I16" s="30" t="s">
        <v>29</v>
      </c>
      <c r="J16" s="36">
        <v>18</v>
      </c>
      <c r="K16" s="32">
        <f>8*60</f>
        <v>480</v>
      </c>
      <c r="L16" s="33">
        <f t="shared" si="2"/>
        <v>8640</v>
      </c>
      <c r="M16" s="33">
        <f t="shared" si="5"/>
        <v>5667468.4799999995</v>
      </c>
      <c r="N16" s="95"/>
      <c r="O16" s="95"/>
      <c r="P16" s="95"/>
      <c r="Q16" s="95"/>
      <c r="R16" s="37" t="s">
        <v>30</v>
      </c>
    </row>
    <row r="17" spans="1:18" ht="15" hidden="1" customHeight="1" outlineLevel="1" x14ac:dyDescent="0.3">
      <c r="A17" s="26" t="s">
        <v>31</v>
      </c>
      <c r="B17" s="27" t="s">
        <v>28</v>
      </c>
      <c r="C17" s="35">
        <f>2.5*12*4</f>
        <v>120</v>
      </c>
      <c r="D17" s="20">
        <f>8*62</f>
        <v>496</v>
      </c>
      <c r="E17" s="29">
        <f t="shared" si="0"/>
        <v>59520</v>
      </c>
      <c r="F17" s="29">
        <f t="shared" si="1"/>
        <v>39042560.640000001</v>
      </c>
      <c r="G17" s="29">
        <f t="shared" si="3"/>
        <v>39042560.640000001</v>
      </c>
      <c r="H17" s="29">
        <f t="shared" si="4"/>
        <v>59520</v>
      </c>
      <c r="I17" s="30" t="s">
        <v>29</v>
      </c>
      <c r="J17" s="36">
        <v>12</v>
      </c>
      <c r="K17" s="32">
        <f>8*62</f>
        <v>496</v>
      </c>
      <c r="L17" s="33">
        <f t="shared" si="2"/>
        <v>5952</v>
      </c>
      <c r="M17" s="33">
        <f t="shared" si="5"/>
        <v>3904256.0639999998</v>
      </c>
      <c r="N17" s="95"/>
      <c r="O17" s="95"/>
      <c r="P17" s="95"/>
      <c r="Q17" s="95"/>
      <c r="R17" s="37" t="s">
        <v>32</v>
      </c>
    </row>
    <row r="18" spans="1:18" ht="15" hidden="1" customHeight="1" outlineLevel="1" x14ac:dyDescent="0.3">
      <c r="A18" s="26" t="s">
        <v>33</v>
      </c>
      <c r="B18" s="27" t="s">
        <v>28</v>
      </c>
      <c r="C18" s="35">
        <f>1*12*4</f>
        <v>48</v>
      </c>
      <c r="D18" s="20">
        <f>8*62</f>
        <v>496</v>
      </c>
      <c r="E18" s="29">
        <f t="shared" si="0"/>
        <v>23808</v>
      </c>
      <c r="F18" s="29">
        <f t="shared" si="1"/>
        <v>15617024.255999999</v>
      </c>
      <c r="G18" s="29">
        <f t="shared" si="3"/>
        <v>15617024.255999999</v>
      </c>
      <c r="H18" s="29">
        <f t="shared" si="4"/>
        <v>23808</v>
      </c>
      <c r="I18" s="30" t="s">
        <v>29</v>
      </c>
      <c r="J18" s="38">
        <v>0</v>
      </c>
      <c r="K18" s="32">
        <f>8*62</f>
        <v>496</v>
      </c>
      <c r="L18" s="33">
        <f t="shared" si="2"/>
        <v>0</v>
      </c>
      <c r="M18" s="33">
        <f t="shared" si="5"/>
        <v>0</v>
      </c>
      <c r="N18" s="95"/>
      <c r="O18" s="95"/>
      <c r="P18" s="95"/>
      <c r="Q18" s="95"/>
      <c r="R18" s="39" t="s">
        <v>34</v>
      </c>
    </row>
    <row r="19" spans="1:18" ht="15" hidden="1" customHeight="1" collapsed="1" x14ac:dyDescent="0.3">
      <c r="A19" s="40" t="s">
        <v>35</v>
      </c>
      <c r="B19" s="41"/>
      <c r="C19" s="40"/>
      <c r="D19" s="42"/>
      <c r="E19" s="43">
        <f>SUM(E8:E18)</f>
        <v>496848</v>
      </c>
      <c r="F19" s="43">
        <f>+E19*655.957</f>
        <v>325910923.53600001</v>
      </c>
      <c r="G19" s="43">
        <f>SUM(G8:G18)</f>
        <v>272227402.65600002</v>
      </c>
      <c r="H19" s="43">
        <f>SUM(H8:H18)</f>
        <v>415008</v>
      </c>
      <c r="I19" s="41"/>
      <c r="J19" s="44"/>
      <c r="K19" s="45"/>
      <c r="L19" s="43">
        <f>SUM(L8:L18)</f>
        <v>63837</v>
      </c>
      <c r="M19" s="43">
        <f>+L19*655.957</f>
        <v>41874327.008999996</v>
      </c>
      <c r="N19" s="96"/>
      <c r="O19" s="96"/>
      <c r="P19" s="96"/>
      <c r="Q19" s="96"/>
      <c r="R19" s="25"/>
    </row>
    <row r="20" spans="1:18" ht="15" hidden="1" customHeight="1" x14ac:dyDescent="0.3">
      <c r="A20" s="17" t="s">
        <v>36</v>
      </c>
      <c r="B20" s="18"/>
      <c r="C20" s="19"/>
      <c r="D20" s="20"/>
      <c r="E20" s="21"/>
      <c r="F20" s="29"/>
      <c r="G20" s="29"/>
      <c r="H20" s="29"/>
      <c r="I20" s="22"/>
      <c r="J20" s="23"/>
      <c r="K20" s="32"/>
      <c r="L20" s="25"/>
      <c r="M20" s="25"/>
      <c r="N20" s="94"/>
      <c r="O20" s="94"/>
      <c r="P20" s="94"/>
      <c r="Q20" s="94"/>
      <c r="R20" s="25"/>
    </row>
    <row r="21" spans="1:18" hidden="1" x14ac:dyDescent="0.3">
      <c r="A21" s="26" t="s">
        <v>37</v>
      </c>
      <c r="B21" s="27" t="s">
        <v>9</v>
      </c>
      <c r="C21" s="35">
        <v>1</v>
      </c>
      <c r="D21" s="20">
        <v>59277</v>
      </c>
      <c r="E21" s="29">
        <f>C21*D21</f>
        <v>59277</v>
      </c>
      <c r="F21" s="29">
        <f t="shared" ref="F21:F27" si="6">+E21*655.957</f>
        <v>38883163.089000002</v>
      </c>
      <c r="G21" s="29">
        <f>+F21</f>
        <v>38883163.089000002</v>
      </c>
      <c r="H21" s="29">
        <f>+G21/655.957</f>
        <v>59277</v>
      </c>
      <c r="I21" s="30" t="s">
        <v>9</v>
      </c>
      <c r="J21" s="38">
        <v>0</v>
      </c>
      <c r="K21" s="32">
        <f>E21</f>
        <v>59277</v>
      </c>
      <c r="L21" s="33">
        <f>J21*K21</f>
        <v>0</v>
      </c>
      <c r="M21" s="33">
        <f t="shared" ref="M21:M23" si="7">+L21*655.957</f>
        <v>0</v>
      </c>
      <c r="N21" s="95"/>
      <c r="O21" s="95"/>
      <c r="P21" s="95"/>
      <c r="Q21" s="95"/>
      <c r="R21" s="25"/>
    </row>
    <row r="22" spans="1:18" ht="15" hidden="1" customHeight="1" x14ac:dyDescent="0.3">
      <c r="A22" s="26" t="s">
        <v>38</v>
      </c>
      <c r="B22" s="27" t="s">
        <v>19</v>
      </c>
      <c r="C22" s="35">
        <v>48</v>
      </c>
      <c r="D22" s="20">
        <v>100</v>
      </c>
      <c r="E22" s="29">
        <f>C22*D22</f>
        <v>4800</v>
      </c>
      <c r="F22" s="29">
        <f t="shared" si="6"/>
        <v>3148593.6</v>
      </c>
      <c r="G22" s="29">
        <f>+F22</f>
        <v>3148593.6</v>
      </c>
      <c r="H22" s="29">
        <f t="shared" ref="H22:H23" si="8">+G22/655.957</f>
        <v>4800</v>
      </c>
      <c r="I22" s="30" t="s">
        <v>19</v>
      </c>
      <c r="J22" s="38">
        <v>7</v>
      </c>
      <c r="K22" s="32">
        <v>100</v>
      </c>
      <c r="L22" s="33">
        <f>J22*K22</f>
        <v>700</v>
      </c>
      <c r="M22" s="33">
        <f t="shared" si="7"/>
        <v>459169.9</v>
      </c>
      <c r="N22" s="95"/>
      <c r="O22" s="95"/>
      <c r="P22" s="95"/>
      <c r="Q22" s="95"/>
      <c r="R22" s="25"/>
    </row>
    <row r="23" spans="1:18" ht="15" hidden="1" customHeight="1" x14ac:dyDescent="0.3">
      <c r="A23" s="26" t="s">
        <v>39</v>
      </c>
      <c r="B23" s="27" t="s">
        <v>19</v>
      </c>
      <c r="C23" s="35">
        <v>48</v>
      </c>
      <c r="D23" s="20">
        <v>130</v>
      </c>
      <c r="E23" s="29">
        <f>C23*D23</f>
        <v>6240</v>
      </c>
      <c r="F23" s="29">
        <f t="shared" si="6"/>
        <v>4093171.68</v>
      </c>
      <c r="G23" s="29">
        <f>+F23</f>
        <v>4093171.68</v>
      </c>
      <c r="H23" s="29">
        <f t="shared" si="8"/>
        <v>6240</v>
      </c>
      <c r="I23" s="30" t="s">
        <v>19</v>
      </c>
      <c r="J23" s="38">
        <v>7</v>
      </c>
      <c r="K23" s="32">
        <v>130</v>
      </c>
      <c r="L23" s="33">
        <f>J23*K23</f>
        <v>910</v>
      </c>
      <c r="M23" s="33">
        <f t="shared" si="7"/>
        <v>596920.87</v>
      </c>
      <c r="N23" s="95"/>
      <c r="O23" s="95"/>
      <c r="P23" s="95"/>
      <c r="Q23" s="95"/>
      <c r="R23" s="25"/>
    </row>
    <row r="24" spans="1:18" ht="15" hidden="1" customHeight="1" x14ac:dyDescent="0.3">
      <c r="A24" s="40" t="s">
        <v>40</v>
      </c>
      <c r="B24" s="41"/>
      <c r="C24" s="40"/>
      <c r="D24" s="42"/>
      <c r="E24" s="43">
        <f>SUM(E21:E23)</f>
        <v>70317</v>
      </c>
      <c r="F24" s="43">
        <f>SUM(F21:F23)</f>
        <v>46124928.369000003</v>
      </c>
      <c r="G24" s="43">
        <f>SUM(G21:G23)</f>
        <v>46124928.369000003</v>
      </c>
      <c r="H24" s="43">
        <f>SUM(H21:H23)</f>
        <v>70317</v>
      </c>
      <c r="I24" s="41"/>
      <c r="J24" s="44"/>
      <c r="K24" s="45"/>
      <c r="L24" s="43">
        <f>SUM(L21:L23)</f>
        <v>1610</v>
      </c>
      <c r="M24" s="43">
        <f>+L24*655.957</f>
        <v>1056090.77</v>
      </c>
      <c r="N24" s="96"/>
      <c r="O24" s="96"/>
      <c r="P24" s="96"/>
      <c r="Q24" s="96"/>
      <c r="R24" s="43"/>
    </row>
    <row r="25" spans="1:18" ht="15" hidden="1" customHeight="1" x14ac:dyDescent="0.3">
      <c r="A25" s="17" t="s">
        <v>41</v>
      </c>
      <c r="B25" s="18"/>
      <c r="C25" s="19"/>
      <c r="D25" s="20"/>
      <c r="E25" s="21"/>
      <c r="F25" s="29">
        <f t="shared" si="6"/>
        <v>0</v>
      </c>
      <c r="G25" s="29"/>
      <c r="H25" s="29"/>
      <c r="I25" s="22"/>
      <c r="J25" s="23"/>
      <c r="K25" s="32"/>
      <c r="L25" s="25"/>
      <c r="M25" s="25"/>
      <c r="N25" s="94"/>
      <c r="O25" s="94"/>
      <c r="P25" s="94"/>
      <c r="Q25" s="94"/>
      <c r="R25" s="25"/>
    </row>
    <row r="26" spans="1:18" ht="25.5" hidden="1" customHeight="1" x14ac:dyDescent="0.3">
      <c r="A26" s="26" t="s">
        <v>42</v>
      </c>
      <c r="B26" s="27" t="s">
        <v>43</v>
      </c>
      <c r="C26" s="35">
        <v>4</v>
      </c>
      <c r="D26" s="20">
        <v>1200</v>
      </c>
      <c r="E26" s="29">
        <f>C26*D26</f>
        <v>4800</v>
      </c>
      <c r="F26" s="29">
        <f t="shared" si="6"/>
        <v>3148593.6</v>
      </c>
      <c r="G26" s="29">
        <f>+F26/2</f>
        <v>1574296.8</v>
      </c>
      <c r="H26" s="29">
        <f>+G26/655.957/2</f>
        <v>1200</v>
      </c>
      <c r="I26" s="30" t="s">
        <v>43</v>
      </c>
      <c r="J26" s="38">
        <v>0</v>
      </c>
      <c r="K26" s="32">
        <v>1200</v>
      </c>
      <c r="L26" s="33">
        <f>J26*K26</f>
        <v>0</v>
      </c>
      <c r="M26" s="33">
        <f>+L26*655.957</f>
        <v>0</v>
      </c>
      <c r="N26" s="95"/>
      <c r="O26" s="95"/>
      <c r="P26" s="95"/>
      <c r="Q26" s="95"/>
      <c r="R26" s="25"/>
    </row>
    <row r="27" spans="1:18" ht="15" hidden="1" customHeight="1" x14ac:dyDescent="0.3">
      <c r="A27" s="26" t="s">
        <v>44</v>
      </c>
      <c r="B27" s="27" t="s">
        <v>9</v>
      </c>
      <c r="C27" s="35">
        <v>2</v>
      </c>
      <c r="D27" s="20">
        <v>500</v>
      </c>
      <c r="E27" s="29">
        <f>C27*D27</f>
        <v>1000</v>
      </c>
      <c r="F27" s="29">
        <f t="shared" si="6"/>
        <v>655957</v>
      </c>
      <c r="G27" s="29">
        <f>+F27/2</f>
        <v>327978.5</v>
      </c>
      <c r="H27" s="29">
        <f>+G27/655.957/2</f>
        <v>250</v>
      </c>
      <c r="I27" s="30" t="s">
        <v>9</v>
      </c>
      <c r="J27" s="38">
        <v>0</v>
      </c>
      <c r="K27" s="32">
        <v>500</v>
      </c>
      <c r="L27" s="33">
        <f>J27*K27</f>
        <v>0</v>
      </c>
      <c r="M27" s="33">
        <f t="shared" ref="M27" si="9">+L27*655.957</f>
        <v>0</v>
      </c>
      <c r="N27" s="95"/>
      <c r="O27" s="95"/>
      <c r="P27" s="95"/>
      <c r="Q27" s="95"/>
      <c r="R27" s="25"/>
    </row>
    <row r="28" spans="1:18" ht="15" hidden="1" customHeight="1" x14ac:dyDescent="0.3">
      <c r="A28" s="40" t="s">
        <v>45</v>
      </c>
      <c r="B28" s="41"/>
      <c r="C28" s="40"/>
      <c r="D28" s="42"/>
      <c r="E28" s="43">
        <f>SUM(E26:E27)</f>
        <v>5800</v>
      </c>
      <c r="F28" s="43">
        <f>E28*655.957</f>
        <v>3804550.6</v>
      </c>
      <c r="G28" s="43">
        <f>SUM(G26:G27)</f>
        <v>1902275.3</v>
      </c>
      <c r="H28" s="43">
        <f>SUM(H26:H27)</f>
        <v>1450</v>
      </c>
      <c r="I28" s="41"/>
      <c r="J28" s="44"/>
      <c r="K28" s="45"/>
      <c r="L28" s="43">
        <f>SUM(L26:L27)</f>
        <v>0</v>
      </c>
      <c r="M28" s="43">
        <f>+L28*655.957</f>
        <v>0</v>
      </c>
      <c r="N28" s="96"/>
      <c r="O28" s="96"/>
      <c r="P28" s="96"/>
      <c r="Q28" s="96"/>
      <c r="R28" s="43"/>
    </row>
    <row r="29" spans="1:18" ht="15" hidden="1" customHeight="1" x14ac:dyDescent="0.3">
      <c r="A29" s="17" t="s">
        <v>46</v>
      </c>
      <c r="B29" s="18" t="s">
        <v>47</v>
      </c>
      <c r="C29" s="19"/>
      <c r="D29" s="20"/>
      <c r="E29" s="21"/>
      <c r="F29" s="29">
        <f>+E29*655.957</f>
        <v>0</v>
      </c>
      <c r="G29" s="29"/>
      <c r="H29" s="29"/>
      <c r="I29" s="22" t="s">
        <v>47</v>
      </c>
      <c r="J29" s="23"/>
      <c r="K29" s="32"/>
      <c r="L29" s="25"/>
      <c r="M29" s="25"/>
      <c r="N29" s="94"/>
      <c r="O29" s="94"/>
      <c r="P29" s="94"/>
      <c r="Q29" s="94"/>
      <c r="R29" s="25"/>
    </row>
    <row r="30" spans="1:18" ht="15" hidden="1" customHeight="1" x14ac:dyDescent="0.3">
      <c r="A30" s="26" t="s">
        <v>48</v>
      </c>
      <c r="B30" s="27" t="s">
        <v>19</v>
      </c>
      <c r="C30" s="35">
        <v>48</v>
      </c>
      <c r="D30" s="20">
        <v>300</v>
      </c>
      <c r="E30" s="29">
        <f t="shared" ref="E30:E36" si="10">C30*D30</f>
        <v>14400</v>
      </c>
      <c r="F30" s="29">
        <f>+E30*655.957</f>
        <v>9445780.8000000007</v>
      </c>
      <c r="G30" s="29">
        <f>+H30*655.957</f>
        <v>7084335.5999999996</v>
      </c>
      <c r="H30" s="29">
        <v>10800</v>
      </c>
      <c r="I30" s="30" t="s">
        <v>19</v>
      </c>
      <c r="J30" s="38">
        <v>7</v>
      </c>
      <c r="K30" s="46">
        <v>279.16666666666669</v>
      </c>
      <c r="L30" s="33">
        <f>J30*K30</f>
        <v>1954.1666666666667</v>
      </c>
      <c r="M30" s="33">
        <f>+L30*655.957</f>
        <v>1281849.3041666667</v>
      </c>
      <c r="N30" s="95"/>
      <c r="O30" s="95"/>
      <c r="P30" s="95"/>
      <c r="Q30" s="95"/>
      <c r="R30" s="25"/>
    </row>
    <row r="31" spans="1:18" ht="15" hidden="1" customHeight="1" x14ac:dyDescent="0.3">
      <c r="A31" s="26" t="s">
        <v>49</v>
      </c>
      <c r="B31" s="27" t="s">
        <v>19</v>
      </c>
      <c r="C31" s="35">
        <v>48</v>
      </c>
      <c r="D31" s="20">
        <v>800</v>
      </c>
      <c r="E31" s="29">
        <f t="shared" si="10"/>
        <v>38400</v>
      </c>
      <c r="F31" s="29">
        <f>+E31*655.957</f>
        <v>25188748.800000001</v>
      </c>
      <c r="G31" s="29">
        <f t="shared" ref="G31:G36" si="11">+H31*655.957</f>
        <v>18891561.600000001</v>
      </c>
      <c r="H31" s="29">
        <v>28800</v>
      </c>
      <c r="I31" s="30" t="s">
        <v>19</v>
      </c>
      <c r="J31" s="38">
        <v>7</v>
      </c>
      <c r="K31" s="46">
        <v>783.33333333333337</v>
      </c>
      <c r="L31" s="33">
        <f t="shared" ref="L31:L36" si="12">J31*K31</f>
        <v>5483.3333333333339</v>
      </c>
      <c r="M31" s="33">
        <f t="shared" ref="M31:M36" si="13">+L31*655.957</f>
        <v>3596830.8833333338</v>
      </c>
      <c r="N31" s="95"/>
      <c r="O31" s="95"/>
      <c r="P31" s="95"/>
      <c r="Q31" s="95"/>
      <c r="R31" s="25"/>
    </row>
    <row r="32" spans="1:18" ht="15" hidden="1" customHeight="1" x14ac:dyDescent="0.3">
      <c r="A32" s="26" t="s">
        <v>50</v>
      </c>
      <c r="B32" s="27" t="s">
        <v>19</v>
      </c>
      <c r="C32" s="35">
        <v>48</v>
      </c>
      <c r="D32" s="20">
        <v>250</v>
      </c>
      <c r="E32" s="29">
        <f t="shared" si="10"/>
        <v>12000</v>
      </c>
      <c r="F32" s="29">
        <f t="shared" ref="F32:F36" si="14">+E32*655.957</f>
        <v>7871484</v>
      </c>
      <c r="G32" s="29">
        <f t="shared" si="11"/>
        <v>5903613</v>
      </c>
      <c r="H32" s="29">
        <v>9000</v>
      </c>
      <c r="I32" s="30" t="s">
        <v>19</v>
      </c>
      <c r="J32" s="38">
        <v>7</v>
      </c>
      <c r="K32" s="32">
        <f>250</f>
        <v>250</v>
      </c>
      <c r="L32" s="33">
        <f t="shared" si="12"/>
        <v>1750</v>
      </c>
      <c r="M32" s="33">
        <f t="shared" si="13"/>
        <v>1147924.75</v>
      </c>
      <c r="N32" s="95"/>
      <c r="O32" s="95"/>
      <c r="P32" s="95"/>
      <c r="Q32" s="95"/>
      <c r="R32" s="25"/>
    </row>
    <row r="33" spans="1:19" ht="15" hidden="1" customHeight="1" x14ac:dyDescent="0.3">
      <c r="A33" s="26" t="s">
        <v>51</v>
      </c>
      <c r="B33" s="27" t="s">
        <v>19</v>
      </c>
      <c r="C33" s="35">
        <v>48</v>
      </c>
      <c r="D33" s="20">
        <v>250</v>
      </c>
      <c r="E33" s="29">
        <f t="shared" si="10"/>
        <v>12000</v>
      </c>
      <c r="F33" s="29">
        <f t="shared" si="14"/>
        <v>7871484</v>
      </c>
      <c r="G33" s="29">
        <f t="shared" si="11"/>
        <v>5903613</v>
      </c>
      <c r="H33" s="29">
        <v>9000</v>
      </c>
      <c r="I33" s="30" t="s">
        <v>19</v>
      </c>
      <c r="J33" s="38">
        <v>7</v>
      </c>
      <c r="K33" s="32">
        <f>250</f>
        <v>250</v>
      </c>
      <c r="L33" s="33">
        <f t="shared" si="12"/>
        <v>1750</v>
      </c>
      <c r="M33" s="33">
        <f t="shared" si="13"/>
        <v>1147924.75</v>
      </c>
      <c r="N33" s="95"/>
      <c r="O33" s="95"/>
      <c r="P33" s="95"/>
      <c r="Q33" s="95"/>
      <c r="R33" s="25"/>
    </row>
    <row r="34" spans="1:19" ht="15" hidden="1" customHeight="1" x14ac:dyDescent="0.3">
      <c r="A34" s="26" t="s">
        <v>52</v>
      </c>
      <c r="B34" s="27" t="s">
        <v>19</v>
      </c>
      <c r="C34" s="35">
        <v>48</v>
      </c>
      <c r="D34" s="20">
        <v>305</v>
      </c>
      <c r="E34" s="29">
        <f t="shared" si="10"/>
        <v>14640</v>
      </c>
      <c r="F34" s="29">
        <f t="shared" si="14"/>
        <v>9603210.4800000004</v>
      </c>
      <c r="G34" s="29">
        <f t="shared" si="11"/>
        <v>7202407.8600000003</v>
      </c>
      <c r="H34" s="29">
        <v>10980</v>
      </c>
      <c r="I34" s="30" t="s">
        <v>19</v>
      </c>
      <c r="J34" s="38">
        <v>7</v>
      </c>
      <c r="K34" s="32">
        <f>305</f>
        <v>305</v>
      </c>
      <c r="L34" s="33">
        <f t="shared" si="12"/>
        <v>2135</v>
      </c>
      <c r="M34" s="33">
        <f t="shared" si="13"/>
        <v>1400468.1950000001</v>
      </c>
      <c r="N34" s="95"/>
      <c r="O34" s="95"/>
      <c r="P34" s="95"/>
      <c r="Q34" s="95"/>
      <c r="R34" s="25"/>
    </row>
    <row r="35" spans="1:19" ht="18" hidden="1" customHeight="1" x14ac:dyDescent="0.3">
      <c r="A35" s="47" t="s">
        <v>53</v>
      </c>
      <c r="B35" s="27" t="s">
        <v>54</v>
      </c>
      <c r="C35" s="35">
        <v>4</v>
      </c>
      <c r="D35" s="20">
        <v>5000</v>
      </c>
      <c r="E35" s="29">
        <f>C35*D35</f>
        <v>20000</v>
      </c>
      <c r="F35" s="29">
        <f t="shared" si="14"/>
        <v>13119140</v>
      </c>
      <c r="G35" s="29">
        <f t="shared" si="11"/>
        <v>9839355</v>
      </c>
      <c r="H35" s="29">
        <v>15000</v>
      </c>
      <c r="I35" s="30" t="s">
        <v>54</v>
      </c>
      <c r="J35" s="38">
        <v>1</v>
      </c>
      <c r="K35" s="32">
        <v>5000</v>
      </c>
      <c r="L35" s="33">
        <f t="shared" si="12"/>
        <v>5000</v>
      </c>
      <c r="M35" s="33">
        <f t="shared" si="13"/>
        <v>3279785</v>
      </c>
      <c r="N35" s="95"/>
      <c r="O35" s="95"/>
      <c r="P35" s="95"/>
      <c r="Q35" s="95"/>
      <c r="R35" s="25"/>
    </row>
    <row r="36" spans="1:19" ht="15" hidden="1" customHeight="1" x14ac:dyDescent="0.3">
      <c r="A36" s="26" t="s">
        <v>55</v>
      </c>
      <c r="B36" s="27" t="s">
        <v>19</v>
      </c>
      <c r="C36" s="35">
        <v>48</v>
      </c>
      <c r="D36" s="20">
        <v>20</v>
      </c>
      <c r="E36" s="29">
        <f t="shared" si="10"/>
        <v>960</v>
      </c>
      <c r="F36" s="29">
        <f t="shared" si="14"/>
        <v>629718.72</v>
      </c>
      <c r="G36" s="29">
        <f t="shared" si="11"/>
        <v>472289.04</v>
      </c>
      <c r="H36" s="29">
        <v>720</v>
      </c>
      <c r="I36" s="30" t="s">
        <v>19</v>
      </c>
      <c r="J36" s="38">
        <v>7</v>
      </c>
      <c r="K36" s="32">
        <v>50</v>
      </c>
      <c r="L36" s="33">
        <f t="shared" si="12"/>
        <v>350</v>
      </c>
      <c r="M36" s="33">
        <f t="shared" si="13"/>
        <v>229584.95</v>
      </c>
      <c r="N36" s="95"/>
      <c r="O36" s="95"/>
      <c r="P36" s="95"/>
      <c r="Q36" s="95"/>
      <c r="R36" s="33"/>
    </row>
    <row r="37" spans="1:19" ht="15" hidden="1" customHeight="1" x14ac:dyDescent="0.3">
      <c r="A37" s="40" t="s">
        <v>56</v>
      </c>
      <c r="B37" s="41"/>
      <c r="C37" s="40"/>
      <c r="D37" s="42"/>
      <c r="E37" s="43">
        <f>SUM(E30:E36)</f>
        <v>112400</v>
      </c>
      <c r="F37" s="43">
        <f>SUM(F30:F36)</f>
        <v>73729566.799999997</v>
      </c>
      <c r="G37" s="43">
        <f>SUM(G30:G36)</f>
        <v>55297175.100000001</v>
      </c>
      <c r="H37" s="43">
        <f>SUM(H30:H36)</f>
        <v>84300</v>
      </c>
      <c r="I37" s="41"/>
      <c r="J37" s="44"/>
      <c r="K37" s="48"/>
      <c r="L37" s="43">
        <f>SUM(L30:L36)</f>
        <v>18422.5</v>
      </c>
      <c r="M37" s="43">
        <f>+L37*655.957</f>
        <v>12084367.8325</v>
      </c>
      <c r="N37" s="96"/>
      <c r="O37" s="96"/>
      <c r="P37" s="96"/>
      <c r="Q37" s="96"/>
      <c r="R37" s="43"/>
    </row>
    <row r="38" spans="1:19" ht="28.2" hidden="1" customHeight="1" x14ac:dyDescent="0.3">
      <c r="A38" s="40" t="s">
        <v>57</v>
      </c>
      <c r="B38" s="41"/>
      <c r="C38" s="40"/>
      <c r="D38" s="42"/>
      <c r="E38" s="43">
        <f>E19+E24+E28+E37</f>
        <v>685365</v>
      </c>
      <c r="F38" s="43">
        <f>+E38*655.957</f>
        <v>449569969.30500001</v>
      </c>
      <c r="G38" s="43">
        <f>G19+G24+G28+G37</f>
        <v>375551781.42500007</v>
      </c>
      <c r="H38" s="43">
        <f>H19+H24+H28+H37</f>
        <v>571075</v>
      </c>
      <c r="I38" s="41"/>
      <c r="J38" s="44"/>
      <c r="K38" s="48"/>
      <c r="L38" s="43">
        <f>L19+L24+L28+L37</f>
        <v>83869.5</v>
      </c>
      <c r="M38" s="43">
        <f>+L38*655.957</f>
        <v>55014785.611500002</v>
      </c>
      <c r="N38" s="96"/>
      <c r="O38" s="96"/>
      <c r="P38" s="96"/>
      <c r="Q38" s="96"/>
      <c r="R38" s="43"/>
      <c r="S38" s="89">
        <f>M38/M83</f>
        <v>0.55642073181472107</v>
      </c>
    </row>
    <row r="39" spans="1:19" ht="15" customHeight="1" x14ac:dyDescent="0.3">
      <c r="A39" s="17" t="s">
        <v>58</v>
      </c>
      <c r="B39" s="27"/>
      <c r="C39" s="49"/>
      <c r="D39" s="50"/>
      <c r="E39" s="20"/>
      <c r="F39" s="29" t="s">
        <v>2</v>
      </c>
      <c r="G39" s="29"/>
      <c r="H39" s="29"/>
      <c r="I39" s="30"/>
      <c r="J39" s="51"/>
      <c r="K39" s="52"/>
      <c r="L39" s="33"/>
      <c r="M39" s="33"/>
      <c r="N39" s="95"/>
      <c r="O39" s="95"/>
      <c r="P39" s="95"/>
      <c r="Q39" s="95"/>
      <c r="R39" s="33"/>
    </row>
    <row r="40" spans="1:19" ht="31.5" customHeight="1" x14ac:dyDescent="0.3">
      <c r="A40" s="53" t="s">
        <v>59</v>
      </c>
      <c r="B40" s="53"/>
      <c r="C40" s="54"/>
      <c r="D40" s="53"/>
      <c r="E40" s="53"/>
      <c r="F40" s="53"/>
      <c r="G40" s="53"/>
      <c r="H40" s="53"/>
      <c r="I40" s="53"/>
      <c r="J40" s="55"/>
      <c r="K40" s="56"/>
      <c r="L40" s="53"/>
      <c r="M40" s="53"/>
      <c r="N40" s="54" t="s">
        <v>111</v>
      </c>
      <c r="O40" s="54" t="s">
        <v>112</v>
      </c>
      <c r="P40" s="54" t="s">
        <v>113</v>
      </c>
      <c r="Q40" s="54" t="s">
        <v>114</v>
      </c>
      <c r="R40" s="53"/>
    </row>
    <row r="41" spans="1:19" ht="31.5" customHeight="1" x14ac:dyDescent="0.3">
      <c r="A41" s="26" t="s">
        <v>60</v>
      </c>
      <c r="B41" s="27" t="s">
        <v>61</v>
      </c>
      <c r="C41" s="27">
        <v>1</v>
      </c>
      <c r="D41" s="29">
        <v>9000</v>
      </c>
      <c r="E41" s="29">
        <f t="shared" ref="E41:E54" si="15">C41*D41</f>
        <v>9000</v>
      </c>
      <c r="F41" s="29">
        <f t="shared" ref="F41:F54" si="16">E41*655.957</f>
        <v>5903613</v>
      </c>
      <c r="G41" s="29">
        <f>+H41*655.957</f>
        <v>3935742</v>
      </c>
      <c r="H41" s="29">
        <v>6000</v>
      </c>
      <c r="I41" s="30" t="s">
        <v>61</v>
      </c>
      <c r="J41" s="38">
        <v>0</v>
      </c>
      <c r="K41" s="32">
        <v>9000</v>
      </c>
      <c r="L41" s="33">
        <f t="shared" ref="L41:L53" si="17">J41*K41</f>
        <v>0</v>
      </c>
      <c r="M41" s="33">
        <f t="shared" ref="M41:M54" si="18">L41*655.957</f>
        <v>0</v>
      </c>
      <c r="N41" s="95"/>
      <c r="O41" s="95"/>
      <c r="P41" s="95"/>
      <c r="Q41" s="95"/>
      <c r="R41" s="33"/>
    </row>
    <row r="42" spans="1:19" ht="31.5" customHeight="1" x14ac:dyDescent="0.3">
      <c r="A42" s="26" t="s">
        <v>62</v>
      </c>
      <c r="B42" s="27" t="s">
        <v>61</v>
      </c>
      <c r="C42" s="27">
        <v>1</v>
      </c>
      <c r="D42" s="29">
        <v>4000</v>
      </c>
      <c r="E42" s="29">
        <f t="shared" si="15"/>
        <v>4000</v>
      </c>
      <c r="F42" s="29">
        <f t="shared" si="16"/>
        <v>2623828</v>
      </c>
      <c r="G42" s="29">
        <f t="shared" ref="G42:G54" si="19">+F42</f>
        <v>2623828</v>
      </c>
      <c r="H42" s="29">
        <f>+G42/655.957</f>
        <v>4000</v>
      </c>
      <c r="I42" s="30" t="s">
        <v>61</v>
      </c>
      <c r="J42" s="38">
        <v>0</v>
      </c>
      <c r="K42" s="32">
        <v>4000</v>
      </c>
      <c r="L42" s="33">
        <f t="shared" si="17"/>
        <v>0</v>
      </c>
      <c r="M42" s="33">
        <f t="shared" si="18"/>
        <v>0</v>
      </c>
      <c r="N42" s="95"/>
      <c r="O42" s="95"/>
      <c r="P42" s="95"/>
      <c r="Q42" s="95"/>
      <c r="R42" s="33"/>
    </row>
    <row r="43" spans="1:19" ht="31.5" customHeight="1" x14ac:dyDescent="0.3">
      <c r="A43" s="26" t="s">
        <v>63</v>
      </c>
      <c r="B43" s="27" t="s">
        <v>64</v>
      </c>
      <c r="C43" s="27">
        <v>1</v>
      </c>
      <c r="D43" s="29">
        <v>12000</v>
      </c>
      <c r="E43" s="29">
        <f t="shared" si="15"/>
        <v>12000</v>
      </c>
      <c r="F43" s="29">
        <f t="shared" si="16"/>
        <v>7871484</v>
      </c>
      <c r="G43" s="29">
        <f t="shared" si="19"/>
        <v>7871484</v>
      </c>
      <c r="H43" s="29">
        <f t="shared" ref="H43:H54" si="20">+G43/655.957</f>
        <v>12000</v>
      </c>
      <c r="I43" s="30" t="s">
        <v>64</v>
      </c>
      <c r="J43" s="38">
        <v>0</v>
      </c>
      <c r="K43" s="32">
        <v>12000</v>
      </c>
      <c r="L43" s="33">
        <f t="shared" si="17"/>
        <v>0</v>
      </c>
      <c r="M43" s="33">
        <f t="shared" si="18"/>
        <v>0</v>
      </c>
      <c r="N43" s="95"/>
      <c r="O43" s="95"/>
      <c r="P43" s="95"/>
      <c r="Q43" s="95"/>
      <c r="R43" s="33"/>
    </row>
    <row r="44" spans="1:19" ht="31.5" customHeight="1" x14ac:dyDescent="0.3">
      <c r="A44" s="26" t="s">
        <v>65</v>
      </c>
      <c r="B44" s="27" t="s">
        <v>64</v>
      </c>
      <c r="C44" s="27">
        <v>1</v>
      </c>
      <c r="D44" s="29">
        <v>7000</v>
      </c>
      <c r="E44" s="29">
        <f t="shared" si="15"/>
        <v>7000</v>
      </c>
      <c r="F44" s="29">
        <f t="shared" si="16"/>
        <v>4591699</v>
      </c>
      <c r="G44" s="29">
        <f t="shared" si="19"/>
        <v>4591699</v>
      </c>
      <c r="H44" s="29">
        <f t="shared" si="20"/>
        <v>7000</v>
      </c>
      <c r="I44" s="30" t="s">
        <v>64</v>
      </c>
      <c r="J44" s="38">
        <v>0</v>
      </c>
      <c r="K44" s="32">
        <v>7000</v>
      </c>
      <c r="L44" s="33">
        <f t="shared" si="17"/>
        <v>0</v>
      </c>
      <c r="M44" s="33">
        <f t="shared" si="18"/>
        <v>0</v>
      </c>
      <c r="N44" s="95"/>
      <c r="O44" s="95"/>
      <c r="P44" s="95"/>
      <c r="Q44" s="95"/>
      <c r="R44" s="33"/>
    </row>
    <row r="45" spans="1:19" ht="31.5" customHeight="1" x14ac:dyDescent="0.3">
      <c r="A45" s="26" t="s">
        <v>66</v>
      </c>
      <c r="B45" s="27" t="s">
        <v>61</v>
      </c>
      <c r="C45" s="27">
        <v>1</v>
      </c>
      <c r="D45" s="29">
        <v>4000</v>
      </c>
      <c r="E45" s="29">
        <f t="shared" si="15"/>
        <v>4000</v>
      </c>
      <c r="F45" s="29">
        <f t="shared" si="16"/>
        <v>2623828</v>
      </c>
      <c r="G45" s="29">
        <f t="shared" si="19"/>
        <v>2623828</v>
      </c>
      <c r="H45" s="29">
        <f t="shared" si="20"/>
        <v>4000</v>
      </c>
      <c r="I45" s="30" t="s">
        <v>61</v>
      </c>
      <c r="J45" s="38">
        <v>0</v>
      </c>
      <c r="K45" s="32">
        <v>4000</v>
      </c>
      <c r="L45" s="33">
        <f t="shared" si="17"/>
        <v>0</v>
      </c>
      <c r="M45" s="33">
        <f t="shared" si="18"/>
        <v>0</v>
      </c>
      <c r="N45" s="95"/>
      <c r="O45" s="95"/>
      <c r="P45" s="95"/>
      <c r="Q45" s="95"/>
      <c r="R45" s="37"/>
    </row>
    <row r="46" spans="1:19" ht="31.5" customHeight="1" x14ac:dyDescent="0.3">
      <c r="A46" s="26" t="s">
        <v>67</v>
      </c>
      <c r="B46" s="27" t="s">
        <v>68</v>
      </c>
      <c r="C46" s="27">
        <f>2*4</f>
        <v>8</v>
      </c>
      <c r="D46" s="29">
        <v>1000</v>
      </c>
      <c r="E46" s="29">
        <f t="shared" si="15"/>
        <v>8000</v>
      </c>
      <c r="F46" s="29">
        <f t="shared" si="16"/>
        <v>5247656</v>
      </c>
      <c r="G46" s="29">
        <f t="shared" si="19"/>
        <v>5247656</v>
      </c>
      <c r="H46" s="29">
        <f t="shared" si="20"/>
        <v>8000</v>
      </c>
      <c r="I46" s="30" t="s">
        <v>69</v>
      </c>
      <c r="J46" s="38">
        <v>0</v>
      </c>
      <c r="K46" s="32">
        <v>1000</v>
      </c>
      <c r="L46" s="33">
        <f t="shared" si="17"/>
        <v>0</v>
      </c>
      <c r="M46" s="33">
        <f t="shared" si="18"/>
        <v>0</v>
      </c>
      <c r="N46" s="95"/>
      <c r="O46" s="95"/>
      <c r="P46" s="95"/>
      <c r="Q46" s="95"/>
      <c r="R46" s="33"/>
    </row>
    <row r="47" spans="1:19" ht="31.5" customHeight="1" x14ac:dyDescent="0.3">
      <c r="A47" s="26" t="s">
        <v>70</v>
      </c>
      <c r="B47" s="27" t="s">
        <v>68</v>
      </c>
      <c r="C47" s="27">
        <f>2*4</f>
        <v>8</v>
      </c>
      <c r="D47" s="29">
        <v>3000</v>
      </c>
      <c r="E47" s="29">
        <f t="shared" si="15"/>
        <v>24000</v>
      </c>
      <c r="F47" s="29">
        <f t="shared" si="16"/>
        <v>15742968</v>
      </c>
      <c r="G47" s="29">
        <f t="shared" si="19"/>
        <v>15742968</v>
      </c>
      <c r="H47" s="29">
        <f t="shared" si="20"/>
        <v>24000</v>
      </c>
      <c r="I47" s="30" t="s">
        <v>69</v>
      </c>
      <c r="J47" s="38">
        <v>0</v>
      </c>
      <c r="K47" s="32">
        <v>3000</v>
      </c>
      <c r="L47" s="33">
        <f t="shared" si="17"/>
        <v>0</v>
      </c>
      <c r="M47" s="33">
        <f t="shared" si="18"/>
        <v>0</v>
      </c>
      <c r="N47" s="95"/>
      <c r="O47" s="95"/>
      <c r="P47" s="95"/>
      <c r="Q47" s="95"/>
      <c r="R47" s="57"/>
    </row>
    <row r="48" spans="1:19" ht="31.5" customHeight="1" x14ac:dyDescent="0.3">
      <c r="A48" s="26" t="s">
        <v>71</v>
      </c>
      <c r="B48" s="27" t="s">
        <v>64</v>
      </c>
      <c r="C48" s="27">
        <v>2</v>
      </c>
      <c r="D48" s="29">
        <v>8000</v>
      </c>
      <c r="E48" s="29">
        <f t="shared" si="15"/>
        <v>16000</v>
      </c>
      <c r="F48" s="29">
        <f t="shared" si="16"/>
        <v>10495312</v>
      </c>
      <c r="G48" s="29">
        <f t="shared" si="19"/>
        <v>10495312</v>
      </c>
      <c r="H48" s="29">
        <f t="shared" si="20"/>
        <v>16000</v>
      </c>
      <c r="I48" s="30" t="s">
        <v>64</v>
      </c>
      <c r="J48" s="38">
        <v>0</v>
      </c>
      <c r="K48" s="32">
        <v>7000</v>
      </c>
      <c r="L48" s="33">
        <f t="shared" si="17"/>
        <v>0</v>
      </c>
      <c r="M48" s="33">
        <f t="shared" si="18"/>
        <v>0</v>
      </c>
      <c r="N48" s="95"/>
      <c r="O48" s="95"/>
      <c r="P48" s="95"/>
      <c r="Q48" s="95"/>
      <c r="R48" s="57"/>
    </row>
    <row r="49" spans="1:18" ht="31.5" customHeight="1" x14ac:dyDescent="0.3">
      <c r="A49" s="26" t="s">
        <v>72</v>
      </c>
      <c r="B49" s="27" t="s">
        <v>73</v>
      </c>
      <c r="C49" s="27">
        <v>4</v>
      </c>
      <c r="D49" s="20">
        <v>5000</v>
      </c>
      <c r="E49" s="29">
        <f t="shared" si="15"/>
        <v>20000</v>
      </c>
      <c r="F49" s="29">
        <f t="shared" si="16"/>
        <v>13119140</v>
      </c>
      <c r="G49" s="29">
        <f t="shared" si="19"/>
        <v>13119140</v>
      </c>
      <c r="H49" s="29">
        <f t="shared" si="20"/>
        <v>20000</v>
      </c>
      <c r="I49" s="30" t="s">
        <v>73</v>
      </c>
      <c r="J49" s="38">
        <v>2</v>
      </c>
      <c r="K49" s="32">
        <v>6000</v>
      </c>
      <c r="L49" s="33">
        <f t="shared" si="17"/>
        <v>12000</v>
      </c>
      <c r="M49" s="33">
        <f t="shared" si="18"/>
        <v>7871484</v>
      </c>
      <c r="N49" s="101"/>
      <c r="O49" s="95"/>
      <c r="P49" s="101"/>
      <c r="Q49" s="95"/>
      <c r="R49" s="33" t="s">
        <v>119</v>
      </c>
    </row>
    <row r="50" spans="1:18" ht="31.5" customHeight="1" x14ac:dyDescent="0.3">
      <c r="A50" s="26" t="s">
        <v>74</v>
      </c>
      <c r="B50" s="27" t="s">
        <v>54</v>
      </c>
      <c r="C50" s="27">
        <v>4</v>
      </c>
      <c r="D50" s="20">
        <v>2500</v>
      </c>
      <c r="E50" s="29">
        <f t="shared" si="15"/>
        <v>10000</v>
      </c>
      <c r="F50" s="29">
        <f t="shared" si="16"/>
        <v>6559570</v>
      </c>
      <c r="G50" s="29">
        <f t="shared" si="19"/>
        <v>6559570</v>
      </c>
      <c r="H50" s="29">
        <f t="shared" si="20"/>
        <v>10000</v>
      </c>
      <c r="I50" s="30" t="s">
        <v>54</v>
      </c>
      <c r="J50" s="38">
        <v>0</v>
      </c>
      <c r="K50" s="32">
        <v>2500</v>
      </c>
      <c r="L50" s="33">
        <f t="shared" si="17"/>
        <v>0</v>
      </c>
      <c r="M50" s="33">
        <f t="shared" si="18"/>
        <v>0</v>
      </c>
      <c r="N50" s="95"/>
      <c r="O50" s="95"/>
      <c r="P50" s="95"/>
      <c r="Q50" s="95"/>
      <c r="R50" s="33"/>
    </row>
    <row r="51" spans="1:18" ht="31.5" customHeight="1" x14ac:dyDescent="0.3">
      <c r="A51" s="26" t="s">
        <v>75</v>
      </c>
      <c r="B51" s="27" t="s">
        <v>61</v>
      </c>
      <c r="C51" s="27">
        <v>1</v>
      </c>
      <c r="D51" s="29">
        <v>5000</v>
      </c>
      <c r="E51" s="29">
        <f t="shared" si="15"/>
        <v>5000</v>
      </c>
      <c r="F51" s="29">
        <f t="shared" si="16"/>
        <v>3279785</v>
      </c>
      <c r="G51" s="29">
        <f t="shared" si="19"/>
        <v>3279785</v>
      </c>
      <c r="H51" s="29">
        <f t="shared" si="20"/>
        <v>5000</v>
      </c>
      <c r="I51" s="30" t="s">
        <v>61</v>
      </c>
      <c r="J51" s="31">
        <v>1</v>
      </c>
      <c r="K51" s="32">
        <v>5000</v>
      </c>
      <c r="L51" s="33">
        <f t="shared" si="17"/>
        <v>5000</v>
      </c>
      <c r="M51" s="33">
        <f t="shared" si="18"/>
        <v>3279785</v>
      </c>
      <c r="N51" s="95"/>
      <c r="O51" s="95"/>
      <c r="P51" s="101"/>
      <c r="Q51" s="95"/>
      <c r="R51" s="33"/>
    </row>
    <row r="52" spans="1:18" ht="31.5" customHeight="1" x14ac:dyDescent="0.3">
      <c r="A52" s="26" t="s">
        <v>76</v>
      </c>
      <c r="B52" s="27" t="s">
        <v>19</v>
      </c>
      <c r="C52" s="27">
        <v>48</v>
      </c>
      <c r="D52" s="29">
        <f>300000/655.957</f>
        <v>457.34705171223112</v>
      </c>
      <c r="E52" s="29">
        <f t="shared" si="15"/>
        <v>21952.658482187093</v>
      </c>
      <c r="F52" s="29">
        <f t="shared" si="16"/>
        <v>14399999.999999998</v>
      </c>
      <c r="G52" s="29">
        <f t="shared" si="19"/>
        <v>14399999.999999998</v>
      </c>
      <c r="H52" s="29">
        <f t="shared" si="20"/>
        <v>21952.658482187093</v>
      </c>
      <c r="I52" s="30" t="s">
        <v>19</v>
      </c>
      <c r="J52" s="38">
        <v>0</v>
      </c>
      <c r="K52" s="32">
        <f>500000/655.957</f>
        <v>762.24508618705192</v>
      </c>
      <c r="L52" s="33">
        <f t="shared" si="17"/>
        <v>0</v>
      </c>
      <c r="M52" s="33">
        <f t="shared" si="18"/>
        <v>0</v>
      </c>
      <c r="N52" s="95"/>
      <c r="O52" s="95"/>
      <c r="P52" s="95"/>
      <c r="Q52" s="95"/>
      <c r="R52" s="37"/>
    </row>
    <row r="53" spans="1:18" ht="31.5" customHeight="1" x14ac:dyDescent="0.3">
      <c r="A53" s="26" t="s">
        <v>77</v>
      </c>
      <c r="B53" s="27" t="s">
        <v>78</v>
      </c>
      <c r="C53" s="27">
        <v>1</v>
      </c>
      <c r="D53" s="29">
        <v>75000</v>
      </c>
      <c r="E53" s="29">
        <f t="shared" si="15"/>
        <v>75000</v>
      </c>
      <c r="F53" s="29">
        <f t="shared" si="16"/>
        <v>49196775</v>
      </c>
      <c r="G53" s="29">
        <f t="shared" si="19"/>
        <v>49196775</v>
      </c>
      <c r="H53" s="29">
        <f t="shared" si="20"/>
        <v>75000</v>
      </c>
      <c r="I53" s="30" t="s">
        <v>78</v>
      </c>
      <c r="J53" s="31">
        <v>0</v>
      </c>
      <c r="K53" s="32">
        <v>10000</v>
      </c>
      <c r="L53" s="33">
        <f t="shared" si="17"/>
        <v>0</v>
      </c>
      <c r="M53" s="33">
        <f t="shared" si="18"/>
        <v>0</v>
      </c>
      <c r="N53" s="95"/>
      <c r="O53" s="95"/>
      <c r="P53" s="95"/>
      <c r="Q53" s="95"/>
      <c r="R53" s="37"/>
    </row>
    <row r="54" spans="1:18" ht="31.5" customHeight="1" x14ac:dyDescent="0.3">
      <c r="A54" s="26" t="s">
        <v>79</v>
      </c>
      <c r="B54" s="27" t="s">
        <v>80</v>
      </c>
      <c r="C54" s="27">
        <v>0</v>
      </c>
      <c r="D54" s="58">
        <v>3100</v>
      </c>
      <c r="E54" s="29">
        <f t="shared" si="15"/>
        <v>0</v>
      </c>
      <c r="F54" s="29">
        <f t="shared" si="16"/>
        <v>0</v>
      </c>
      <c r="G54" s="29">
        <f t="shared" si="19"/>
        <v>0</v>
      </c>
      <c r="H54" s="29">
        <f t="shared" si="20"/>
        <v>0</v>
      </c>
      <c r="I54" s="30" t="s">
        <v>19</v>
      </c>
      <c r="J54" s="38">
        <v>0</v>
      </c>
      <c r="K54" s="32">
        <f>35*12</f>
        <v>420</v>
      </c>
      <c r="L54" s="33">
        <f>J54*K54</f>
        <v>0</v>
      </c>
      <c r="M54" s="33">
        <f t="shared" si="18"/>
        <v>0</v>
      </c>
      <c r="N54" s="95"/>
      <c r="O54" s="95"/>
      <c r="P54" s="95"/>
      <c r="Q54" s="95"/>
      <c r="R54" s="59"/>
    </row>
    <row r="55" spans="1:18" ht="31.5" customHeight="1" x14ac:dyDescent="0.3">
      <c r="A55" s="26" t="s">
        <v>81</v>
      </c>
      <c r="B55" s="27"/>
      <c r="C55" s="27"/>
      <c r="D55" s="58"/>
      <c r="E55" s="29"/>
      <c r="F55" s="29"/>
      <c r="G55" s="29"/>
      <c r="H55" s="29"/>
      <c r="I55" s="60" t="s">
        <v>82</v>
      </c>
      <c r="J55" s="61">
        <v>1</v>
      </c>
      <c r="K55" s="32">
        <v>10000</v>
      </c>
      <c r="L55" s="62">
        <f>+J55*K55</f>
        <v>10000</v>
      </c>
      <c r="M55" s="62">
        <f t="shared" ref="M55" si="21">+L55*655.957</f>
        <v>6559570</v>
      </c>
      <c r="N55" s="60"/>
      <c r="O55" s="60"/>
      <c r="P55" s="102"/>
      <c r="Q55" s="95"/>
      <c r="R55" s="59"/>
    </row>
    <row r="56" spans="1:18" ht="31.5" hidden="1" customHeight="1" x14ac:dyDescent="0.3">
      <c r="A56" s="63" t="s">
        <v>83</v>
      </c>
      <c r="B56" s="64"/>
      <c r="C56" s="65"/>
      <c r="D56" s="63"/>
      <c r="E56" s="66">
        <f>SUM(E41:E54)</f>
        <v>215952.65848218708</v>
      </c>
      <c r="F56" s="66">
        <f>SUM(F41:F54)</f>
        <v>141655658</v>
      </c>
      <c r="G56" s="66">
        <f>SUM(G41:G54)</f>
        <v>139687787</v>
      </c>
      <c r="H56" s="66">
        <f>SUM(H41:H54)</f>
        <v>212952.65848218708</v>
      </c>
      <c r="I56" s="64"/>
      <c r="J56" s="67"/>
      <c r="K56" s="68"/>
      <c r="L56" s="66">
        <f>SUM(L41:L55)</f>
        <v>27000</v>
      </c>
      <c r="M56" s="66">
        <f>+L56*655.957</f>
        <v>17710839</v>
      </c>
      <c r="N56" s="97"/>
      <c r="O56" s="97"/>
      <c r="P56" s="97"/>
      <c r="Q56" s="97"/>
      <c r="R56" s="66"/>
    </row>
    <row r="57" spans="1:18" ht="35.4" customHeight="1" x14ac:dyDescent="0.3">
      <c r="A57" s="53" t="s">
        <v>84</v>
      </c>
      <c r="B57" s="53"/>
      <c r="C57" s="54"/>
      <c r="D57" s="53"/>
      <c r="E57" s="53"/>
      <c r="F57" s="53"/>
      <c r="G57" s="53"/>
      <c r="H57" s="53"/>
      <c r="I57" s="53"/>
      <c r="J57" s="55"/>
      <c r="K57" s="56"/>
      <c r="L57" s="53"/>
      <c r="M57" s="53"/>
      <c r="N57" s="54"/>
      <c r="O57" s="54"/>
      <c r="P57" s="54"/>
      <c r="Q57" s="54"/>
      <c r="R57" s="53"/>
    </row>
    <row r="58" spans="1:18" ht="31.5" customHeight="1" x14ac:dyDescent="0.3">
      <c r="A58" s="26" t="s">
        <v>85</v>
      </c>
      <c r="B58" s="27" t="s">
        <v>80</v>
      </c>
      <c r="C58" s="27">
        <v>1</v>
      </c>
      <c r="D58" s="58">
        <v>50000</v>
      </c>
      <c r="E58" s="29">
        <f t="shared" ref="E58:E60" si="22">C58*D58</f>
        <v>50000</v>
      </c>
      <c r="F58" s="29">
        <f t="shared" ref="F58:F60" si="23">E58*655.957</f>
        <v>32797850</v>
      </c>
      <c r="G58" s="29">
        <f>+F58</f>
        <v>32797850</v>
      </c>
      <c r="H58" s="29">
        <f>+G58/655.957</f>
        <v>50000</v>
      </c>
      <c r="I58" s="30" t="s">
        <v>80</v>
      </c>
      <c r="J58" s="31">
        <v>0</v>
      </c>
      <c r="K58" s="69">
        <v>59000</v>
      </c>
      <c r="L58" s="33">
        <v>0</v>
      </c>
      <c r="M58" s="33">
        <f t="shared" ref="M58:M60" si="24">L58*655.957</f>
        <v>0</v>
      </c>
      <c r="N58" s="95"/>
      <c r="O58" s="95"/>
      <c r="P58" s="95"/>
      <c r="Q58" s="95"/>
      <c r="R58" s="33"/>
    </row>
    <row r="59" spans="1:18" ht="31.5" customHeight="1" x14ac:dyDescent="0.3">
      <c r="A59" s="26" t="s">
        <v>86</v>
      </c>
      <c r="B59" s="27" t="s">
        <v>80</v>
      </c>
      <c r="C59" s="27">
        <v>1</v>
      </c>
      <c r="D59" s="58">
        <v>27000</v>
      </c>
      <c r="E59" s="29">
        <f t="shared" si="22"/>
        <v>27000</v>
      </c>
      <c r="F59" s="29">
        <f t="shared" si="23"/>
        <v>17710839</v>
      </c>
      <c r="G59" s="29">
        <f t="shared" ref="G59" si="25">+F59</f>
        <v>17710839</v>
      </c>
      <c r="H59" s="29">
        <f t="shared" ref="H59" si="26">+G59/655.957</f>
        <v>27000</v>
      </c>
      <c r="I59" s="30" t="s">
        <v>80</v>
      </c>
      <c r="J59" s="31">
        <v>0</v>
      </c>
      <c r="K59" s="69">
        <v>500</v>
      </c>
      <c r="L59" s="33">
        <f t="shared" ref="L59:L60" si="27">J59*K59</f>
        <v>0</v>
      </c>
      <c r="M59" s="33">
        <f t="shared" si="24"/>
        <v>0</v>
      </c>
      <c r="N59" s="95"/>
      <c r="O59" s="95"/>
      <c r="P59" s="95"/>
      <c r="Q59" s="95"/>
      <c r="R59" s="59"/>
    </row>
    <row r="60" spans="1:18" ht="31.5" customHeight="1" x14ac:dyDescent="0.3">
      <c r="A60" s="26" t="s">
        <v>87</v>
      </c>
      <c r="B60" s="27" t="s">
        <v>80</v>
      </c>
      <c r="C60" s="27">
        <v>1</v>
      </c>
      <c r="D60" s="58">
        <v>27000</v>
      </c>
      <c r="E60" s="29">
        <f t="shared" si="22"/>
        <v>27000</v>
      </c>
      <c r="F60" s="29">
        <f t="shared" si="23"/>
        <v>17710839</v>
      </c>
      <c r="G60" s="29">
        <v>0</v>
      </c>
      <c r="H60" s="29">
        <v>0</v>
      </c>
      <c r="I60" s="30" t="s">
        <v>80</v>
      </c>
      <c r="J60" s="31">
        <v>4</v>
      </c>
      <c r="K60" s="69">
        <v>3000</v>
      </c>
      <c r="L60" s="33">
        <f t="shared" si="27"/>
        <v>12000</v>
      </c>
      <c r="M60" s="33">
        <f t="shared" si="24"/>
        <v>7871484</v>
      </c>
      <c r="N60" s="101"/>
      <c r="O60" s="101"/>
      <c r="P60" s="95"/>
      <c r="Q60" s="95"/>
      <c r="R60" s="33"/>
    </row>
    <row r="61" spans="1:18" ht="31.5" hidden="1" customHeight="1" x14ac:dyDescent="0.3">
      <c r="A61" s="63" t="s">
        <v>88</v>
      </c>
      <c r="B61" s="64"/>
      <c r="C61" s="65"/>
      <c r="D61" s="63"/>
      <c r="E61" s="66">
        <f>SUM(E58:E60)</f>
        <v>104000</v>
      </c>
      <c r="F61" s="66">
        <f>SUM(F58:F60)</f>
        <v>68219528</v>
      </c>
      <c r="G61" s="66">
        <f>SUM(G58:G60)</f>
        <v>50508689</v>
      </c>
      <c r="H61" s="66">
        <f>SUM(H58:H60)</f>
        <v>77000</v>
      </c>
      <c r="I61" s="64"/>
      <c r="J61" s="67"/>
      <c r="K61" s="68"/>
      <c r="L61" s="66">
        <f>SUM(L58:L60)</f>
        <v>12000</v>
      </c>
      <c r="M61" s="66">
        <f>L61*655.957</f>
        <v>7871484</v>
      </c>
      <c r="N61" s="97"/>
      <c r="O61" s="97"/>
      <c r="P61" s="97"/>
      <c r="Q61" s="97"/>
      <c r="R61" s="66"/>
    </row>
    <row r="62" spans="1:18" ht="31.5" customHeight="1" x14ac:dyDescent="0.3">
      <c r="A62" s="53" t="s">
        <v>89</v>
      </c>
      <c r="B62" s="53"/>
      <c r="C62" s="54"/>
      <c r="D62" s="53"/>
      <c r="E62" s="53"/>
      <c r="F62" s="53"/>
      <c r="G62" s="53"/>
      <c r="H62" s="53"/>
      <c r="I62" s="53"/>
      <c r="J62" s="55"/>
      <c r="K62" s="56"/>
      <c r="L62" s="53"/>
      <c r="M62" s="53"/>
      <c r="N62" s="54"/>
      <c r="O62" s="54"/>
      <c r="P62" s="54"/>
      <c r="Q62" s="54"/>
      <c r="R62" s="53"/>
    </row>
    <row r="63" spans="1:18" ht="31.5" customHeight="1" x14ac:dyDescent="0.3">
      <c r="A63" s="26" t="s">
        <v>90</v>
      </c>
      <c r="B63" s="27" t="s">
        <v>80</v>
      </c>
      <c r="C63" s="27">
        <v>1</v>
      </c>
      <c r="D63" s="58">
        <v>25000</v>
      </c>
      <c r="E63" s="29">
        <f>C63*D63</f>
        <v>25000</v>
      </c>
      <c r="F63" s="29">
        <f t="shared" ref="F63:F67" si="28">E63*655.957</f>
        <v>16398925</v>
      </c>
      <c r="G63" s="29">
        <f>+F63</f>
        <v>16398925</v>
      </c>
      <c r="H63" s="29">
        <f>+G63/655.957</f>
        <v>25000</v>
      </c>
      <c r="I63" s="30" t="s">
        <v>80</v>
      </c>
      <c r="J63" s="31">
        <v>1</v>
      </c>
      <c r="K63" s="69">
        <v>15000</v>
      </c>
      <c r="L63" s="33">
        <f t="shared" ref="L63:L66" si="29">J63*K63</f>
        <v>15000</v>
      </c>
      <c r="M63" s="33">
        <f t="shared" ref="M63:M66" si="30">L63*655.957</f>
        <v>9839355</v>
      </c>
      <c r="N63" s="101"/>
      <c r="O63" s="95"/>
      <c r="P63" s="95"/>
      <c r="Q63" s="95"/>
      <c r="R63" s="59"/>
    </row>
    <row r="64" spans="1:18" ht="46.2" customHeight="1" x14ac:dyDescent="0.3">
      <c r="A64" s="26" t="s">
        <v>91</v>
      </c>
      <c r="B64" s="27" t="s">
        <v>80</v>
      </c>
      <c r="C64" s="27">
        <v>1</v>
      </c>
      <c r="D64" s="58">
        <v>30000</v>
      </c>
      <c r="E64" s="29">
        <f t="shared" ref="E64:E66" si="31">C64*D64</f>
        <v>30000</v>
      </c>
      <c r="F64" s="29">
        <f t="shared" si="28"/>
        <v>19678710</v>
      </c>
      <c r="G64" s="29">
        <f t="shared" ref="G64" si="32">+F64</f>
        <v>19678710</v>
      </c>
      <c r="H64" s="29">
        <f t="shared" ref="H64" si="33">+G64/655.957</f>
        <v>30000</v>
      </c>
      <c r="I64" s="30" t="s">
        <v>80</v>
      </c>
      <c r="J64" s="31">
        <v>0</v>
      </c>
      <c r="K64" s="69">
        <v>4000</v>
      </c>
      <c r="L64" s="33">
        <f t="shared" si="29"/>
        <v>0</v>
      </c>
      <c r="M64" s="33">
        <f t="shared" si="30"/>
        <v>0</v>
      </c>
      <c r="N64" s="95"/>
      <c r="O64" s="95"/>
      <c r="P64" s="95"/>
      <c r="Q64" s="95"/>
      <c r="R64" s="59"/>
    </row>
    <row r="65" spans="1:19" ht="31.5" customHeight="1" x14ac:dyDescent="0.3">
      <c r="A65" s="26" t="s">
        <v>92</v>
      </c>
      <c r="B65" s="27" t="s">
        <v>80</v>
      </c>
      <c r="C65" s="27">
        <v>1</v>
      </c>
      <c r="D65" s="58">
        <v>100000</v>
      </c>
      <c r="E65" s="29">
        <f t="shared" si="31"/>
        <v>100000</v>
      </c>
      <c r="F65" s="29">
        <f t="shared" si="28"/>
        <v>65595700</v>
      </c>
      <c r="G65" s="29">
        <v>0</v>
      </c>
      <c r="H65" s="29">
        <v>0</v>
      </c>
      <c r="I65" s="30" t="s">
        <v>80</v>
      </c>
      <c r="J65" s="31">
        <v>1</v>
      </c>
      <c r="K65" s="69">
        <v>3000</v>
      </c>
      <c r="L65" s="33">
        <f t="shared" si="29"/>
        <v>3000</v>
      </c>
      <c r="M65" s="33">
        <f t="shared" si="30"/>
        <v>1967871</v>
      </c>
      <c r="N65" s="101"/>
      <c r="O65" s="95"/>
      <c r="P65" s="95"/>
      <c r="Q65" s="95"/>
      <c r="R65" s="59"/>
    </row>
    <row r="66" spans="1:19" ht="31.5" customHeight="1" x14ac:dyDescent="0.3">
      <c r="A66" s="26" t="s">
        <v>93</v>
      </c>
      <c r="B66" s="27" t="s">
        <v>80</v>
      </c>
      <c r="C66" s="27">
        <v>5</v>
      </c>
      <c r="D66" s="58">
        <v>5000</v>
      </c>
      <c r="E66" s="29">
        <f t="shared" si="31"/>
        <v>25000</v>
      </c>
      <c r="F66" s="29">
        <f t="shared" si="28"/>
        <v>16398925</v>
      </c>
      <c r="G66" s="29">
        <v>0</v>
      </c>
      <c r="H66" s="29">
        <v>0</v>
      </c>
      <c r="I66" s="30" t="s">
        <v>80</v>
      </c>
      <c r="J66" s="38">
        <v>0</v>
      </c>
      <c r="K66" s="69">
        <v>4000</v>
      </c>
      <c r="L66" s="33">
        <f t="shared" si="29"/>
        <v>0</v>
      </c>
      <c r="M66" s="33">
        <f t="shared" si="30"/>
        <v>0</v>
      </c>
      <c r="N66" s="95"/>
      <c r="O66" s="95"/>
      <c r="P66" s="95"/>
      <c r="Q66" s="95"/>
      <c r="R66" s="59"/>
    </row>
    <row r="67" spans="1:19" ht="31.5" customHeight="1" x14ac:dyDescent="0.3">
      <c r="A67" s="26" t="s">
        <v>94</v>
      </c>
      <c r="B67" s="27" t="s">
        <v>80</v>
      </c>
      <c r="C67" s="27">
        <v>1</v>
      </c>
      <c r="D67" s="58">
        <v>40000</v>
      </c>
      <c r="E67" s="29">
        <f>C67*D67</f>
        <v>40000</v>
      </c>
      <c r="F67" s="29">
        <f t="shared" si="28"/>
        <v>26238280</v>
      </c>
      <c r="G67" s="29">
        <f>+H67*655.957</f>
        <v>16889580.835999999</v>
      </c>
      <c r="H67" s="29">
        <v>25748</v>
      </c>
      <c r="I67" s="30" t="s">
        <v>80</v>
      </c>
      <c r="J67" s="38">
        <v>0</v>
      </c>
      <c r="K67" s="69">
        <v>4000</v>
      </c>
      <c r="L67" s="33">
        <f>J67*K67</f>
        <v>0</v>
      </c>
      <c r="M67" s="33">
        <f>L67*655.957</f>
        <v>0</v>
      </c>
      <c r="N67" s="95"/>
      <c r="O67" s="95"/>
      <c r="P67" s="95"/>
      <c r="Q67" s="95"/>
      <c r="R67" s="59" t="s">
        <v>2</v>
      </c>
    </row>
    <row r="68" spans="1:19" ht="31.5" hidden="1" customHeight="1" x14ac:dyDescent="0.3">
      <c r="A68" s="63" t="s">
        <v>95</v>
      </c>
      <c r="B68" s="64"/>
      <c r="C68" s="65"/>
      <c r="D68" s="63"/>
      <c r="E68" s="66">
        <f>SUM(E63:E67)</f>
        <v>220000</v>
      </c>
      <c r="F68" s="66">
        <f>SUM(F63:F67)</f>
        <v>144310540</v>
      </c>
      <c r="G68" s="66">
        <f>SUM(G63:G67)</f>
        <v>52967215.835999995</v>
      </c>
      <c r="H68" s="66">
        <f>SUM(H63:H67)</f>
        <v>80748</v>
      </c>
      <c r="I68" s="64"/>
      <c r="J68" s="67"/>
      <c r="K68" s="68"/>
      <c r="L68" s="66">
        <f>SUM(L63:L67)</f>
        <v>18000</v>
      </c>
      <c r="M68" s="66">
        <f>L68*655.957</f>
        <v>11807226</v>
      </c>
      <c r="N68" s="97"/>
      <c r="O68" s="97"/>
      <c r="P68" s="97"/>
      <c r="Q68" s="97"/>
      <c r="R68" s="66"/>
    </row>
    <row r="69" spans="1:19" ht="31.5" customHeight="1" x14ac:dyDescent="0.3">
      <c r="A69" s="53" t="s">
        <v>96</v>
      </c>
      <c r="B69" s="53"/>
      <c r="C69" s="54"/>
      <c r="D69" s="53"/>
      <c r="E69" s="53"/>
      <c r="F69" s="53"/>
      <c r="G69" s="53"/>
      <c r="H69" s="53"/>
      <c r="I69" s="53"/>
      <c r="J69" s="55"/>
      <c r="K69" s="56"/>
      <c r="L69" s="53"/>
      <c r="M69" s="53"/>
      <c r="N69" s="54"/>
      <c r="O69" s="54"/>
      <c r="P69" s="54"/>
      <c r="Q69" s="54"/>
      <c r="R69" s="53"/>
    </row>
    <row r="70" spans="1:19" ht="31.5" customHeight="1" x14ac:dyDescent="0.3">
      <c r="A70" s="26" t="s">
        <v>97</v>
      </c>
      <c r="B70" s="27" t="s">
        <v>80</v>
      </c>
      <c r="C70" s="27">
        <v>1</v>
      </c>
      <c r="D70" s="58">
        <v>21000</v>
      </c>
      <c r="E70" s="29">
        <f>C70*D70</f>
        <v>21000</v>
      </c>
      <c r="F70" s="29">
        <f t="shared" ref="F70:F73" si="34">E70*655.957</f>
        <v>13775097</v>
      </c>
      <c r="G70" s="29">
        <f>+F70</f>
        <v>13775097</v>
      </c>
      <c r="H70" s="29">
        <f>+G70/655.957</f>
        <v>21000</v>
      </c>
      <c r="I70" s="30" t="s">
        <v>80</v>
      </c>
      <c r="J70" s="38">
        <v>0</v>
      </c>
      <c r="K70" s="69">
        <v>5000</v>
      </c>
      <c r="L70" s="33">
        <f>J70*K70</f>
        <v>0</v>
      </c>
      <c r="M70" s="33">
        <f>L70*655.957</f>
        <v>0</v>
      </c>
      <c r="N70" s="95"/>
      <c r="O70" s="95"/>
      <c r="P70" s="95"/>
      <c r="Q70" s="95"/>
      <c r="R70" s="37"/>
    </row>
    <row r="71" spans="1:19" ht="31.5" customHeight="1" x14ac:dyDescent="0.3">
      <c r="A71" s="26" t="s">
        <v>98</v>
      </c>
      <c r="B71" s="27" t="s">
        <v>80</v>
      </c>
      <c r="C71" s="27">
        <v>1</v>
      </c>
      <c r="D71" s="58">
        <v>80000</v>
      </c>
      <c r="E71" s="29">
        <f t="shared" ref="E71:E73" si="35">C71*D71</f>
        <v>80000</v>
      </c>
      <c r="F71" s="29">
        <f t="shared" si="34"/>
        <v>52476560</v>
      </c>
      <c r="G71" s="29">
        <f t="shared" ref="G71:G73" si="36">+F71</f>
        <v>52476560</v>
      </c>
      <c r="H71" s="29">
        <f t="shared" ref="H71:H73" si="37">+G71/655.957</f>
        <v>80000</v>
      </c>
      <c r="I71" s="30" t="s">
        <v>80</v>
      </c>
      <c r="J71" s="31">
        <v>0</v>
      </c>
      <c r="K71" s="69">
        <v>500</v>
      </c>
      <c r="L71" s="33">
        <f>J71*K71</f>
        <v>0</v>
      </c>
      <c r="M71" s="33">
        <f>L71*655.957</f>
        <v>0</v>
      </c>
      <c r="N71" s="95"/>
      <c r="O71" s="95"/>
      <c r="P71" s="95"/>
      <c r="Q71" s="95"/>
      <c r="R71" s="59"/>
      <c r="S71" s="70"/>
    </row>
    <row r="72" spans="1:19" ht="31.5" customHeight="1" x14ac:dyDescent="0.3">
      <c r="A72" s="26" t="s">
        <v>99</v>
      </c>
      <c r="B72" s="27" t="s">
        <v>80</v>
      </c>
      <c r="C72" s="27">
        <v>1</v>
      </c>
      <c r="D72" s="58">
        <v>25000</v>
      </c>
      <c r="E72" s="29">
        <f t="shared" si="35"/>
        <v>25000</v>
      </c>
      <c r="F72" s="29">
        <f t="shared" si="34"/>
        <v>16398925</v>
      </c>
      <c r="G72" s="29">
        <f t="shared" si="36"/>
        <v>16398925</v>
      </c>
      <c r="H72" s="29">
        <f t="shared" si="37"/>
        <v>25000</v>
      </c>
      <c r="I72" s="30" t="s">
        <v>80</v>
      </c>
      <c r="J72" s="31">
        <v>0</v>
      </c>
      <c r="K72" s="69">
        <v>2000</v>
      </c>
      <c r="L72" s="33">
        <f>J72*K72</f>
        <v>0</v>
      </c>
      <c r="M72" s="33">
        <f>L72*655.957</f>
        <v>0</v>
      </c>
      <c r="N72" s="95"/>
      <c r="O72" s="95"/>
      <c r="P72" s="95"/>
      <c r="Q72" s="95"/>
      <c r="R72" s="33"/>
    </row>
    <row r="73" spans="1:19" ht="31.5" customHeight="1" x14ac:dyDescent="0.3">
      <c r="A73" s="26" t="s">
        <v>100</v>
      </c>
      <c r="B73" s="27" t="s">
        <v>80</v>
      </c>
      <c r="C73" s="27">
        <v>4</v>
      </c>
      <c r="D73" s="58">
        <v>8000</v>
      </c>
      <c r="E73" s="29">
        <f t="shared" si="35"/>
        <v>32000</v>
      </c>
      <c r="F73" s="29">
        <f t="shared" si="34"/>
        <v>20990624</v>
      </c>
      <c r="G73" s="29">
        <f t="shared" si="36"/>
        <v>20990624</v>
      </c>
      <c r="H73" s="29">
        <f t="shared" si="37"/>
        <v>32000</v>
      </c>
      <c r="I73" s="30" t="s">
        <v>80</v>
      </c>
      <c r="J73" s="38">
        <v>0</v>
      </c>
      <c r="K73" s="69">
        <v>5000</v>
      </c>
      <c r="L73" s="33">
        <f t="shared" ref="L73" si="38">J73*K73</f>
        <v>0</v>
      </c>
      <c r="M73" s="33">
        <f t="shared" ref="M73" si="39">L73*655.957</f>
        <v>0</v>
      </c>
      <c r="N73" s="95"/>
      <c r="O73" s="95"/>
      <c r="P73" s="95"/>
      <c r="Q73" s="95"/>
      <c r="R73" s="33"/>
    </row>
    <row r="74" spans="1:19" ht="31.5" hidden="1" customHeight="1" x14ac:dyDescent="0.3">
      <c r="A74" s="63" t="s">
        <v>101</v>
      </c>
      <c r="B74" s="64"/>
      <c r="C74" s="65"/>
      <c r="D74" s="63"/>
      <c r="E74" s="66">
        <f>SUM(E70:E73)</f>
        <v>158000</v>
      </c>
      <c r="F74" s="66">
        <f>E74*655.957</f>
        <v>103641206</v>
      </c>
      <c r="G74" s="66">
        <f>SUM(G70:G73)</f>
        <v>103641206</v>
      </c>
      <c r="H74" s="66">
        <f>SUM(H70:H73)</f>
        <v>158000</v>
      </c>
      <c r="I74" s="64"/>
      <c r="J74" s="67"/>
      <c r="K74" s="68"/>
      <c r="L74" s="66">
        <f>SUM(L70:L73)</f>
        <v>0</v>
      </c>
      <c r="M74" s="66">
        <f>L74*655.957</f>
        <v>0</v>
      </c>
      <c r="N74" s="97"/>
      <c r="O74" s="97"/>
      <c r="P74" s="97"/>
      <c r="Q74" s="97"/>
      <c r="R74" s="66"/>
    </row>
    <row r="75" spans="1:19" ht="31.5" hidden="1" customHeight="1" x14ac:dyDescent="0.3">
      <c r="A75" s="63" t="s">
        <v>102</v>
      </c>
      <c r="B75" s="64"/>
      <c r="C75" s="65"/>
      <c r="D75" s="63"/>
      <c r="E75" s="66">
        <f>E56+E61+E68+E74</f>
        <v>697952.65848218708</v>
      </c>
      <c r="F75" s="66">
        <f>E75*655.957</f>
        <v>457826932</v>
      </c>
      <c r="G75" s="66">
        <f>G56+G61+G68+G74</f>
        <v>346804897.83599997</v>
      </c>
      <c r="H75" s="66">
        <f>H56+H61+H68+H74</f>
        <v>528700.65848218708</v>
      </c>
      <c r="I75" s="64"/>
      <c r="J75" s="67"/>
      <c r="K75" s="68"/>
      <c r="L75" s="66">
        <f>L56+L61+L68+L74</f>
        <v>57000</v>
      </c>
      <c r="M75" s="66">
        <f>L75*655.957</f>
        <v>37389549</v>
      </c>
      <c r="N75" s="97"/>
      <c r="O75" s="97"/>
      <c r="P75" s="97"/>
      <c r="Q75" s="97"/>
      <c r="R75" s="66"/>
      <c r="S75" s="91">
        <f>+M75/M83</f>
        <v>0.37815870743761554</v>
      </c>
    </row>
    <row r="76" spans="1:19" ht="31.5" hidden="1" customHeight="1" x14ac:dyDescent="0.3">
      <c r="A76" s="64" t="s">
        <v>103</v>
      </c>
      <c r="B76" s="71"/>
      <c r="C76" s="71"/>
      <c r="D76" s="72"/>
      <c r="E76" s="66">
        <f>E38+E75</f>
        <v>1383317.658482187</v>
      </c>
      <c r="F76" s="66">
        <f>+E76*655.957</f>
        <v>907396901.30499995</v>
      </c>
      <c r="G76" s="66">
        <f>G38+G75</f>
        <v>722356679.26100004</v>
      </c>
      <c r="H76" s="66">
        <f>H38+H75</f>
        <v>1099775.658482187</v>
      </c>
      <c r="I76" s="71"/>
      <c r="J76" s="73"/>
      <c r="K76" s="74"/>
      <c r="L76" s="66">
        <f>L38+L75</f>
        <v>140869.5</v>
      </c>
      <c r="M76" s="66">
        <f>+L76*655.957</f>
        <v>92404334.611499995</v>
      </c>
      <c r="N76" s="97"/>
      <c r="O76" s="97"/>
      <c r="P76" s="97"/>
      <c r="Q76" s="97"/>
      <c r="R76" s="66"/>
    </row>
    <row r="77" spans="1:19" ht="31.5" hidden="1" customHeight="1" x14ac:dyDescent="0.3">
      <c r="A77" s="26" t="s">
        <v>104</v>
      </c>
      <c r="B77" s="27"/>
      <c r="C77" s="75"/>
      <c r="D77" s="35"/>
      <c r="E77" s="29">
        <f>E76*0/100</f>
        <v>0</v>
      </c>
      <c r="F77" s="29">
        <f>+E77*655.957</f>
        <v>0</v>
      </c>
      <c r="G77" s="29"/>
      <c r="H77" s="29"/>
      <c r="I77" s="30"/>
      <c r="J77" s="51"/>
      <c r="K77" s="61"/>
      <c r="L77" s="33">
        <v>0</v>
      </c>
      <c r="M77" s="33">
        <f>+L77*655.957</f>
        <v>0</v>
      </c>
      <c r="N77" s="95"/>
      <c r="O77" s="95"/>
      <c r="P77" s="95"/>
      <c r="Q77" s="95"/>
      <c r="R77" s="33"/>
    </row>
    <row r="78" spans="1:19" ht="31.5" hidden="1" customHeight="1" x14ac:dyDescent="0.3">
      <c r="A78" s="64" t="s">
        <v>105</v>
      </c>
      <c r="B78" s="71"/>
      <c r="C78" s="71"/>
      <c r="D78" s="72"/>
      <c r="E78" s="66">
        <f>E76+E77</f>
        <v>1383317.658482187</v>
      </c>
      <c r="F78" s="66">
        <f>+E78*655.957</f>
        <v>907396901.30499995</v>
      </c>
      <c r="G78" s="66">
        <f>G76+G77</f>
        <v>722356679.26100004</v>
      </c>
      <c r="H78" s="66">
        <f>H76+H77</f>
        <v>1099775.658482187</v>
      </c>
      <c r="I78" s="71"/>
      <c r="J78" s="73"/>
      <c r="K78" s="76"/>
      <c r="L78" s="66">
        <f>L76+L77</f>
        <v>140869.5</v>
      </c>
      <c r="M78" s="66">
        <f>+L78*655.957</f>
        <v>92404334.611499995</v>
      </c>
      <c r="N78" s="97"/>
      <c r="O78" s="97"/>
      <c r="P78" s="97"/>
      <c r="Q78" s="97"/>
      <c r="R78" s="66"/>
    </row>
    <row r="79" spans="1:19" ht="31.5" hidden="1" customHeight="1" x14ac:dyDescent="0.3">
      <c r="A79" s="26" t="s">
        <v>106</v>
      </c>
      <c r="B79" s="27"/>
      <c r="C79" s="75"/>
      <c r="D79" s="35"/>
      <c r="E79" s="29">
        <v>162402.34151781304</v>
      </c>
      <c r="F79" s="29">
        <f>+E79*655.957</f>
        <v>106528952.73500009</v>
      </c>
      <c r="G79" s="29">
        <f>+G78*J79</f>
        <v>50564967.548270009</v>
      </c>
      <c r="H79" s="29">
        <f>+G79/655.957</f>
        <v>77085.796093753117</v>
      </c>
      <c r="I79" s="30"/>
      <c r="J79" s="77">
        <v>7.0000000000000007E-2</v>
      </c>
      <c r="K79" s="78"/>
      <c r="L79" s="33">
        <f>L78*J79</f>
        <v>9860.8650000000016</v>
      </c>
      <c r="M79" s="33">
        <f>+L79*655.957</f>
        <v>6468303.422805001</v>
      </c>
      <c r="N79" s="95"/>
      <c r="O79" s="95"/>
      <c r="P79" s="95"/>
      <c r="Q79" s="95"/>
      <c r="R79" s="33"/>
      <c r="S79" s="91">
        <f>+M79/M80</f>
        <v>6.5420560747663573E-2</v>
      </c>
    </row>
    <row r="80" spans="1:19" ht="31.5" hidden="1" customHeight="1" x14ac:dyDescent="0.3">
      <c r="A80" s="64" t="s">
        <v>107</v>
      </c>
      <c r="B80" s="71"/>
      <c r="C80" s="71"/>
      <c r="D80" s="72"/>
      <c r="E80" s="66">
        <f>E78+E79</f>
        <v>1545720</v>
      </c>
      <c r="F80" s="66">
        <f>E80*655.957</f>
        <v>1013925854.04</v>
      </c>
      <c r="G80" s="66">
        <f>G78+G79</f>
        <v>772921646.80927002</v>
      </c>
      <c r="H80" s="66">
        <f>H78+H79+7450</f>
        <v>1184311.45457594</v>
      </c>
      <c r="I80" s="71"/>
      <c r="J80" s="73"/>
      <c r="K80" s="76"/>
      <c r="L80" s="66">
        <f>L78+L79</f>
        <v>150730.36499999999</v>
      </c>
      <c r="M80" s="66">
        <f>L80*655.957</f>
        <v>98872638.034304991</v>
      </c>
      <c r="N80" s="97"/>
      <c r="O80" s="97"/>
      <c r="P80" s="97"/>
      <c r="Q80" s="97"/>
      <c r="R80" s="66"/>
    </row>
    <row r="81" spans="1:19" ht="31.5" hidden="1" customHeight="1" x14ac:dyDescent="0.3">
      <c r="A81" s="79" t="s">
        <v>108</v>
      </c>
      <c r="B81" s="71"/>
      <c r="C81" s="71"/>
      <c r="D81" s="72"/>
      <c r="E81" s="72"/>
      <c r="F81" s="72">
        <f>+E81*655.957</f>
        <v>0</v>
      </c>
      <c r="G81" s="72"/>
      <c r="H81" s="72"/>
      <c r="I81" s="71"/>
      <c r="J81" s="73"/>
      <c r="K81" s="76"/>
      <c r="L81" s="72"/>
      <c r="M81" s="72"/>
      <c r="N81" s="98"/>
      <c r="O81" s="98"/>
      <c r="P81" s="98"/>
      <c r="Q81" s="98"/>
      <c r="R81" s="72"/>
    </row>
    <row r="82" spans="1:19" ht="31.5" hidden="1" customHeight="1" x14ac:dyDescent="0.3">
      <c r="A82" s="79" t="s">
        <v>109</v>
      </c>
      <c r="B82" s="71"/>
      <c r="C82" s="71"/>
      <c r="D82" s="72"/>
      <c r="E82" s="72"/>
      <c r="F82" s="72">
        <f>+E82*655.957</f>
        <v>0</v>
      </c>
      <c r="G82" s="72"/>
      <c r="H82" s="72"/>
      <c r="I82" s="71"/>
      <c r="J82" s="73"/>
      <c r="K82" s="76"/>
      <c r="L82" s="72"/>
      <c r="M82" s="72"/>
      <c r="N82" s="98"/>
      <c r="O82" s="98"/>
      <c r="P82" s="98"/>
      <c r="Q82" s="98"/>
      <c r="R82" s="72"/>
    </row>
    <row r="83" spans="1:19" ht="31.5" hidden="1" customHeight="1" x14ac:dyDescent="0.3">
      <c r="A83" s="80" t="s">
        <v>110</v>
      </c>
      <c r="B83" s="81"/>
      <c r="C83" s="82"/>
      <c r="D83" s="83"/>
      <c r="E83" s="84">
        <f>E80</f>
        <v>1545720</v>
      </c>
      <c r="F83" s="84">
        <f>F80</f>
        <v>1013925854.04</v>
      </c>
      <c r="G83" s="85">
        <f>G80</f>
        <v>772921646.80927002</v>
      </c>
      <c r="H83" s="85">
        <f>H80</f>
        <v>1184311.45457594</v>
      </c>
      <c r="I83" s="81"/>
      <c r="J83" s="86"/>
      <c r="K83" s="87"/>
      <c r="L83" s="84">
        <f>L80</f>
        <v>150730.36499999999</v>
      </c>
      <c r="M83" s="84">
        <f>+L83*655.957</f>
        <v>98872638.034304991</v>
      </c>
      <c r="N83" s="99"/>
      <c r="O83" s="99"/>
      <c r="P83" s="99"/>
      <c r="Q83" s="99"/>
      <c r="R83" s="66"/>
      <c r="S83" s="91">
        <f>+S38+S75+S79</f>
        <v>1.0000000000000002</v>
      </c>
    </row>
    <row r="84" spans="1:19" x14ac:dyDescent="0.3">
      <c r="F84" s="2"/>
      <c r="G84" s="2"/>
      <c r="H84" s="2"/>
      <c r="J84" s="88"/>
      <c r="L84" s="89" t="s">
        <v>2</v>
      </c>
    </row>
    <row r="85" spans="1:19" x14ac:dyDescent="0.3">
      <c r="L85" s="90">
        <v>149660.36499999999</v>
      </c>
      <c r="M85" s="90">
        <v>98170764.044304997</v>
      </c>
      <c r="N85" s="100"/>
      <c r="O85" s="100"/>
      <c r="P85" s="100"/>
      <c r="Q85" s="100"/>
    </row>
  </sheetData>
  <mergeCells count="4">
    <mergeCell ref="B4:F4"/>
    <mergeCell ref="G4:H4"/>
    <mergeCell ref="I4:M4"/>
    <mergeCell ref="R4:R5"/>
  </mergeCells>
  <phoneticPr fontId="16" type="noConversion"/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55" fitToHeight="0" orientation="landscape" r:id="rId1"/>
  <headerFooter>
    <oddFooter>&amp;L&amp;F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3" ma:contentTypeDescription="Create a new document." ma:contentTypeScope="" ma:versionID="0d2427c978a965e0cbf75a8ce0373cc4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f3e2771b3a8a810ffb2f1f30b24916e0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2171A5-CA05-4BA7-9AAE-F7B2E0A9864E}"/>
</file>

<file path=customXml/itemProps2.xml><?xml version="1.0" encoding="utf-8"?>
<ds:datastoreItem xmlns:ds="http://schemas.openxmlformats.org/officeDocument/2006/customXml" ds:itemID="{30386F8D-3567-4F61-B62B-AAD8FF58BCFC}"/>
</file>

<file path=customXml/itemProps3.xml><?xml version="1.0" encoding="utf-8"?>
<ds:datastoreItem xmlns:ds="http://schemas.openxmlformats.org/officeDocument/2006/customXml" ds:itemID="{2851FC74-7B1A-40F5-AF42-79B0BEB44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PTA RAPPID 2026</vt:lpstr>
      <vt:lpstr>'PTA RAPPID 2026'!Impression_des_titres</vt:lpstr>
      <vt:lpstr>'PTA RAPPID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Djamal FOUSSENI</dc:creator>
  <cp:lastModifiedBy>sapience LAOUROU</cp:lastModifiedBy>
  <dcterms:created xsi:type="dcterms:W3CDTF">2025-11-11T14:08:06Z</dcterms:created>
  <dcterms:modified xsi:type="dcterms:W3CDTF">2025-11-14T08:07:35Z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</Properties>
</file>