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nimddenhaag-my.sharepoint.com/personal/hanschristiaanse_nimd_org/Documents/Desktop/PRLFP planning 2026/"/>
    </mc:Choice>
  </mc:AlternateContent>
  <xr:revisionPtr revIDLastSave="436" documentId="13_ncr:1_{80AE819F-1FB0-481E-81B0-346571CCD518}" xr6:coauthVersionLast="47" xr6:coauthVersionMax="47" xr10:uidLastSave="{A9691598-3DE5-49C6-A5AC-5960A689F74A}"/>
  <bookViews>
    <workbookView xWindow="-28920" yWindow="-990" windowWidth="29040" windowHeight="15720" xr2:uid="{EA44A5F1-CB20-42F9-BE07-6569F77D10EE}"/>
  </bookViews>
  <sheets>
    <sheet name="Update planning PRLFP + Budge6" sheetId="1" r:id="rId1"/>
  </sheets>
  <definedNames>
    <definedName name="_xlnm.Print_Area" localSheetId="0">'Update planning PRLFP + Budge6'!$A$1:$AY$160</definedName>
    <definedName name="_xlnm.Print_Titles" localSheetId="0">'Update planning PRLFP + Budge6'!$4:$5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5" i="1" l="1"/>
  <c r="AL55" i="1"/>
  <c r="AK55" i="1"/>
  <c r="AJ55" i="1"/>
  <c r="AQ66" i="1"/>
  <c r="AR66" i="1"/>
  <c r="AS66" i="1" s="1"/>
  <c r="AS72" i="1" s="1"/>
  <c r="AQ13" i="1"/>
  <c r="AP13" i="1" s="1"/>
  <c r="AR13" i="1" s="1"/>
  <c r="AW146" i="1"/>
  <c r="AV146" i="1"/>
  <c r="AU146" i="1"/>
  <c r="AT146" i="1"/>
  <c r="AS146" i="1"/>
  <c r="AR146" i="1"/>
  <c r="AW117" i="1"/>
  <c r="AV117" i="1"/>
  <c r="AU117" i="1"/>
  <c r="AT117" i="1"/>
  <c r="AS117" i="1"/>
  <c r="AR117" i="1"/>
  <c r="AW97" i="1"/>
  <c r="AV97" i="1"/>
  <c r="AU97" i="1"/>
  <c r="AT97" i="1"/>
  <c r="AS97" i="1"/>
  <c r="AR97" i="1"/>
  <c r="AW72" i="1"/>
  <c r="AV72" i="1"/>
  <c r="AU72" i="1"/>
  <c r="AT72" i="1"/>
  <c r="AW53" i="1"/>
  <c r="AV53" i="1"/>
  <c r="AU53" i="1"/>
  <c r="AT53" i="1"/>
  <c r="AS53" i="1"/>
  <c r="AR53" i="1"/>
  <c r="AW50" i="1"/>
  <c r="AV50" i="1"/>
  <c r="AU50" i="1"/>
  <c r="AT50" i="1"/>
  <c r="AS50" i="1"/>
  <c r="AR50" i="1"/>
  <c r="AW43" i="1"/>
  <c r="AV43" i="1"/>
  <c r="AU43" i="1"/>
  <c r="AT43" i="1"/>
  <c r="AS43" i="1"/>
  <c r="AR43" i="1"/>
  <c r="AW35" i="1"/>
  <c r="AV35" i="1"/>
  <c r="AU35" i="1"/>
  <c r="AT35" i="1"/>
  <c r="AS35" i="1"/>
  <c r="AR35" i="1"/>
  <c r="AR26" i="1"/>
  <c r="AS26" i="1"/>
  <c r="AT26" i="1"/>
  <c r="AU26" i="1"/>
  <c r="AV26" i="1"/>
  <c r="AW26" i="1"/>
  <c r="AW21" i="1"/>
  <c r="AV21" i="1"/>
  <c r="AU21" i="1"/>
  <c r="AT21" i="1"/>
  <c r="AS21" i="1"/>
  <c r="AR21" i="1"/>
  <c r="AW14" i="1"/>
  <c r="AV14" i="1"/>
  <c r="AU14" i="1"/>
  <c r="AT14" i="1"/>
  <c r="AT22" i="1" s="1"/>
  <c r="AF55" i="1"/>
  <c r="AU149" i="1" l="1"/>
  <c r="AU150" i="1" s="1"/>
  <c r="AV149" i="1"/>
  <c r="AV150" i="1" s="1"/>
  <c r="AR44" i="1"/>
  <c r="AW22" i="1"/>
  <c r="AS44" i="1"/>
  <c r="AV22" i="1"/>
  <c r="AT44" i="1"/>
  <c r="AT54" i="1" s="1"/>
  <c r="AW149" i="1"/>
  <c r="AW150" i="1" s="1"/>
  <c r="AU44" i="1"/>
  <c r="AS13" i="1"/>
  <c r="AS14" i="1" s="1"/>
  <c r="AS22" i="1" s="1"/>
  <c r="AV44" i="1"/>
  <c r="AW44" i="1"/>
  <c r="AW54" i="1" s="1"/>
  <c r="AU22" i="1"/>
  <c r="AU54" i="1" s="1"/>
  <c r="AU151" i="1" s="1"/>
  <c r="AU153" i="1" s="1"/>
  <c r="AT149" i="1"/>
  <c r="AT150" i="1" s="1"/>
  <c r="AR72" i="1"/>
  <c r="AR149" i="1" s="1"/>
  <c r="AS149" i="1"/>
  <c r="AR14" i="1"/>
  <c r="AR22" i="1" s="1"/>
  <c r="AR54" i="1" s="1"/>
  <c r="AH80" i="1"/>
  <c r="AF78" i="1"/>
  <c r="AH78" i="1" s="1"/>
  <c r="AH77" i="1"/>
  <c r="AF74" i="1"/>
  <c r="AH74" i="1" s="1"/>
  <c r="AS54" i="1" l="1"/>
  <c r="AS151" i="1" s="1"/>
  <c r="AS153" i="1" s="1"/>
  <c r="AS156" i="1" s="1"/>
  <c r="AS159" i="1" s="1"/>
  <c r="AS160" i="1" s="1"/>
  <c r="AW151" i="1"/>
  <c r="AW153" i="1" s="1"/>
  <c r="AW156" i="1" s="1"/>
  <c r="AW159" i="1" s="1"/>
  <c r="AW160" i="1" s="1"/>
  <c r="AV54" i="1"/>
  <c r="AV151" i="1" s="1"/>
  <c r="AV153" i="1" s="1"/>
  <c r="AV154" i="1" s="1"/>
  <c r="AU154" i="1"/>
  <c r="AU156" i="1"/>
  <c r="AU159" i="1" s="1"/>
  <c r="AU160" i="1" s="1"/>
  <c r="AT151" i="1"/>
  <c r="AT153" i="1" s="1"/>
  <c r="AR151" i="1"/>
  <c r="AR153" i="1" s="1"/>
  <c r="AR156" i="1" s="1"/>
  <c r="AR159" i="1" s="1"/>
  <c r="AR160" i="1" s="1"/>
  <c r="AB148" i="1"/>
  <c r="M148" i="1"/>
  <c r="AV156" i="1" l="1"/>
  <c r="AV159" i="1" s="1"/>
  <c r="AV160" i="1" s="1"/>
  <c r="AW154" i="1"/>
  <c r="AT154" i="1"/>
  <c r="AT156" i="1"/>
  <c r="AT159" i="1" s="1"/>
  <c r="AT160" i="1" s="1"/>
  <c r="AJ126" i="1"/>
  <c r="AJ62" i="1"/>
  <c r="AM145" i="1"/>
  <c r="AK145" i="1"/>
  <c r="AL144" i="1"/>
  <c r="AK144" i="1"/>
  <c r="AM143" i="1"/>
  <c r="AK143" i="1"/>
  <c r="AL134" i="1"/>
  <c r="AK134" i="1"/>
  <c r="AM127" i="1"/>
  <c r="AK127" i="1"/>
  <c r="AL120" i="1"/>
  <c r="AK120" i="1"/>
  <c r="AL119" i="1"/>
  <c r="AK119" i="1"/>
  <c r="AM114" i="1"/>
  <c r="AK114" i="1"/>
  <c r="AM110" i="1"/>
  <c r="AK110" i="1"/>
  <c r="AM109" i="1"/>
  <c r="AK109" i="1"/>
  <c r="AM101" i="1"/>
  <c r="AK101" i="1"/>
  <c r="AL100" i="1"/>
  <c r="AK100" i="1"/>
  <c r="AL99" i="1"/>
  <c r="AK99" i="1"/>
  <c r="AK82" i="1"/>
  <c r="AL81" i="1"/>
  <c r="AK81" i="1"/>
  <c r="AM71" i="1"/>
  <c r="AK71" i="1"/>
  <c r="AM70" i="1"/>
  <c r="AK70" i="1"/>
  <c r="AM69" i="1"/>
  <c r="AK69" i="1"/>
  <c r="AM68" i="1"/>
  <c r="AK68" i="1"/>
  <c r="AM67" i="1"/>
  <c r="AL67" i="1"/>
  <c r="AK67" i="1"/>
  <c r="AM66" i="1"/>
  <c r="AL66" i="1"/>
  <c r="AM65" i="1"/>
  <c r="AK65" i="1"/>
  <c r="AM64" i="1"/>
  <c r="AK64" i="1"/>
  <c r="AM63" i="1"/>
  <c r="AK63" i="1"/>
  <c r="AM62" i="1"/>
  <c r="AL62" i="1"/>
  <c r="AK62" i="1"/>
  <c r="AM61" i="1"/>
  <c r="AK61" i="1"/>
  <c r="AM60" i="1"/>
  <c r="AK60" i="1"/>
  <c r="AM59" i="1"/>
  <c r="AK59" i="1"/>
  <c r="AL58" i="1"/>
  <c r="AK58" i="1"/>
  <c r="AM57" i="1"/>
  <c r="AK57" i="1"/>
  <c r="AM52" i="1"/>
  <c r="AK52" i="1"/>
  <c r="AM49" i="1"/>
  <c r="AK49" i="1"/>
  <c r="AM48" i="1"/>
  <c r="AK48" i="1"/>
  <c r="AM47" i="1"/>
  <c r="AK47" i="1"/>
  <c r="AM46" i="1"/>
  <c r="AK46" i="1"/>
  <c r="AL42" i="1"/>
  <c r="AK42" i="1"/>
  <c r="AL41" i="1"/>
  <c r="AK41" i="1"/>
  <c r="AL40" i="1"/>
  <c r="AK40" i="1"/>
  <c r="AL39" i="1"/>
  <c r="AK39" i="1"/>
  <c r="AL38" i="1"/>
  <c r="AK38" i="1"/>
  <c r="AL37" i="1"/>
  <c r="AK37" i="1"/>
  <c r="AM34" i="1"/>
  <c r="AK34" i="1"/>
  <c r="AM33" i="1"/>
  <c r="AK33" i="1"/>
  <c r="AM32" i="1"/>
  <c r="AK32" i="1"/>
  <c r="AM31" i="1"/>
  <c r="AK31" i="1"/>
  <c r="AM30" i="1"/>
  <c r="AK30" i="1"/>
  <c r="AM29" i="1"/>
  <c r="AK29" i="1"/>
  <c r="AL25" i="1"/>
  <c r="AK25" i="1"/>
  <c r="AM24" i="1"/>
  <c r="AK24" i="1"/>
  <c r="AL19" i="1"/>
  <c r="AK19" i="1"/>
  <c r="AL18" i="1"/>
  <c r="AK18" i="1"/>
  <c r="AL17" i="1"/>
  <c r="AK17" i="1"/>
  <c r="AK10" i="1"/>
  <c r="AM10" i="1"/>
  <c r="AK11" i="1"/>
  <c r="AM11" i="1"/>
  <c r="AK12" i="1"/>
  <c r="AM12" i="1"/>
  <c r="AL13" i="1"/>
  <c r="AM13" i="1"/>
  <c r="AM9" i="1"/>
  <c r="AK9" i="1"/>
  <c r="AH145" i="1"/>
  <c r="AI144" i="1"/>
  <c r="AH143" i="1"/>
  <c r="AH109" i="1"/>
  <c r="N83" i="1"/>
  <c r="P83" i="1"/>
  <c r="AC83" i="1"/>
  <c r="AE83" i="1"/>
  <c r="AI83" i="1"/>
  <c r="AG83" i="1"/>
  <c r="AF83" i="1"/>
  <c r="AH83" i="1" s="1"/>
  <c r="AH85" i="1"/>
  <c r="AH86" i="1"/>
  <c r="AH87" i="1"/>
  <c r="AH84" i="1"/>
  <c r="AI81" i="1"/>
  <c r="AI79" i="1"/>
  <c r="AG66" i="1"/>
  <c r="AH71" i="1"/>
  <c r="AH65" i="1"/>
  <c r="AH64" i="1"/>
  <c r="AH63" i="1"/>
  <c r="AH52" i="1"/>
  <c r="AH47" i="1"/>
  <c r="AH48" i="1"/>
  <c r="AH49" i="1"/>
  <c r="AH46" i="1"/>
  <c r="AI19" i="1"/>
  <c r="AI18" i="1"/>
  <c r="AI17" i="1"/>
  <c r="AG13" i="1"/>
  <c r="AI25" i="1"/>
  <c r="AI42" i="1"/>
  <c r="AI41" i="1"/>
  <c r="AI40" i="1"/>
  <c r="AI39" i="1"/>
  <c r="AI38" i="1"/>
  <c r="AI37" i="1"/>
  <c r="AH34" i="1"/>
  <c r="AH33" i="1"/>
  <c r="AH32" i="1"/>
  <c r="AH31" i="1"/>
  <c r="AH30" i="1"/>
  <c r="AH29" i="1"/>
  <c r="AH24" i="1"/>
  <c r="AH12" i="1"/>
  <c r="AH11" i="1"/>
  <c r="AH10" i="1"/>
  <c r="AH9" i="1"/>
  <c r="AF134" i="1"/>
  <c r="AI134" i="1" s="1"/>
  <c r="AF127" i="1"/>
  <c r="AH127" i="1" s="1"/>
  <c r="AF120" i="1"/>
  <c r="AI120" i="1" s="1"/>
  <c r="AF114" i="1"/>
  <c r="AH114" i="1" s="1"/>
  <c r="AF110" i="1"/>
  <c r="AH110" i="1" s="1"/>
  <c r="AF92" i="1"/>
  <c r="AH92" i="1" s="1"/>
  <c r="AF72" i="1"/>
  <c r="AF73" i="1" s="1"/>
  <c r="AK146" i="1" l="1"/>
  <c r="AM83" i="1"/>
  <c r="AK83" i="1"/>
  <c r="AF146" i="1"/>
  <c r="AF147" i="1" s="1"/>
  <c r="AF97" i="1"/>
  <c r="AF98" i="1" s="1"/>
  <c r="AM53" i="1" l="1"/>
  <c r="AK53" i="1"/>
  <c r="AI53" i="1"/>
  <c r="AH53" i="1"/>
  <c r="AG53" i="1"/>
  <c r="AE53" i="1"/>
  <c r="AC53" i="1"/>
  <c r="AC146" i="1"/>
  <c r="AG146" i="1"/>
  <c r="AG147" i="1" s="1"/>
  <c r="AH146" i="1"/>
  <c r="AH147" i="1" s="1"/>
  <c r="AI146" i="1"/>
  <c r="AI147" i="1" s="1"/>
  <c r="AC92" i="1"/>
  <c r="AE92" i="1"/>
  <c r="AG92" i="1"/>
  <c r="AI92" i="1"/>
  <c r="AC78" i="1"/>
  <c r="AE78" i="1"/>
  <c r="AM78" i="1" s="1"/>
  <c r="AG78" i="1"/>
  <c r="AC74" i="1"/>
  <c r="AD74" i="1"/>
  <c r="AG74" i="1"/>
  <c r="AG72" i="1"/>
  <c r="AG73" i="1" s="1"/>
  <c r="AH72" i="1"/>
  <c r="AH73" i="1" s="1"/>
  <c r="AI72" i="1"/>
  <c r="AI73" i="1" s="1"/>
  <c r="AC50" i="1"/>
  <c r="AE50" i="1"/>
  <c r="AG50" i="1"/>
  <c r="AH50" i="1"/>
  <c r="AI50" i="1"/>
  <c r="AK50" i="1"/>
  <c r="AM50" i="1"/>
  <c r="AC43" i="1"/>
  <c r="AD43" i="1"/>
  <c r="AG43" i="1"/>
  <c r="AH43" i="1"/>
  <c r="AI43" i="1"/>
  <c r="AK43" i="1"/>
  <c r="AL43" i="1"/>
  <c r="AC35" i="1"/>
  <c r="AE35" i="1"/>
  <c r="AG35" i="1"/>
  <c r="AH35" i="1"/>
  <c r="AI35" i="1"/>
  <c r="AK35" i="1"/>
  <c r="AM35" i="1"/>
  <c r="AC26" i="1"/>
  <c r="AG26" i="1"/>
  <c r="AH26" i="1"/>
  <c r="AI26" i="1"/>
  <c r="AK26" i="1"/>
  <c r="AC21" i="1"/>
  <c r="AD21" i="1"/>
  <c r="AG21" i="1"/>
  <c r="AH21" i="1"/>
  <c r="AI21" i="1"/>
  <c r="AK21" i="1"/>
  <c r="AL21" i="1"/>
  <c r="AE14" i="1"/>
  <c r="AG14" i="1"/>
  <c r="AH14" i="1"/>
  <c r="AI14" i="1"/>
  <c r="AM14" i="1"/>
  <c r="AC44" i="1" l="1"/>
  <c r="AK78" i="1"/>
  <c r="AL74" i="1"/>
  <c r="AK74" i="1"/>
  <c r="AM92" i="1"/>
  <c r="AK92" i="1"/>
  <c r="AK44" i="1"/>
  <c r="AC97" i="1"/>
  <c r="AI44" i="1"/>
  <c r="AG22" i="1"/>
  <c r="AI22" i="1"/>
  <c r="AH22" i="1"/>
  <c r="AG44" i="1"/>
  <c r="AH44" i="1"/>
  <c r="O134" i="1"/>
  <c r="N134" i="1"/>
  <c r="P127" i="1"/>
  <c r="N127" i="1"/>
  <c r="P114" i="1"/>
  <c r="N114" i="1"/>
  <c r="P110" i="1"/>
  <c r="N110" i="1"/>
  <c r="O105" i="1"/>
  <c r="N105" i="1"/>
  <c r="P101" i="1"/>
  <c r="N101" i="1"/>
  <c r="P78" i="1"/>
  <c r="N78" i="1"/>
  <c r="N74" i="1"/>
  <c r="P53" i="1"/>
  <c r="N53" i="1"/>
  <c r="P50" i="1"/>
  <c r="N50" i="1"/>
  <c r="O43" i="1"/>
  <c r="N43" i="1"/>
  <c r="P35" i="1"/>
  <c r="N35" i="1"/>
  <c r="N26" i="1"/>
  <c r="O21" i="1"/>
  <c r="N21" i="1"/>
  <c r="P14" i="1"/>
  <c r="N117" i="1" l="1"/>
  <c r="N44" i="1"/>
  <c r="N97" i="1"/>
  <c r="N146" i="1"/>
  <c r="AG54" i="1" l="1"/>
  <c r="AG55" i="1" s="1"/>
  <c r="AH54" i="1" l="1"/>
  <c r="AH55" i="1" s="1"/>
  <c r="AI54" i="1" l="1"/>
  <c r="AI55" i="1" s="1"/>
  <c r="F158" i="1" l="1"/>
  <c r="F157" i="1"/>
  <c r="X152" i="1"/>
  <c r="U152" i="1"/>
  <c r="V152" i="1" s="1"/>
  <c r="T152" i="1"/>
  <c r="R152" i="1"/>
  <c r="M152" i="1"/>
  <c r="W145" i="1"/>
  <c r="X145" i="1" s="1"/>
  <c r="U145" i="1"/>
  <c r="T145" i="1"/>
  <c r="R145" i="1"/>
  <c r="L145" i="1"/>
  <c r="M145" i="1" s="1"/>
  <c r="O145" i="1" s="1"/>
  <c r="K145" i="1"/>
  <c r="X144" i="1"/>
  <c r="U144" i="1"/>
  <c r="T144" i="1"/>
  <c r="R144" i="1"/>
  <c r="L144" i="1"/>
  <c r="K144" i="1"/>
  <c r="X143" i="1"/>
  <c r="U143" i="1"/>
  <c r="T143" i="1"/>
  <c r="R143" i="1"/>
  <c r="L143" i="1"/>
  <c r="K143" i="1"/>
  <c r="X140" i="1"/>
  <c r="U140" i="1"/>
  <c r="Y140" i="1" s="1"/>
  <c r="T140" i="1"/>
  <c r="R140" i="1"/>
  <c r="L140" i="1"/>
  <c r="K140" i="1"/>
  <c r="X139" i="1"/>
  <c r="U139" i="1"/>
  <c r="Y139" i="1" s="1"/>
  <c r="T139" i="1"/>
  <c r="R139" i="1"/>
  <c r="L139" i="1"/>
  <c r="M139" i="1" s="1"/>
  <c r="P139" i="1" s="1"/>
  <c r="K139" i="1"/>
  <c r="X138" i="1"/>
  <c r="U138" i="1"/>
  <c r="T138" i="1"/>
  <c r="R138" i="1"/>
  <c r="L138" i="1"/>
  <c r="M138" i="1" s="1"/>
  <c r="P138" i="1" s="1"/>
  <c r="K138" i="1"/>
  <c r="X137" i="1"/>
  <c r="U137" i="1"/>
  <c r="Y137" i="1" s="1"/>
  <c r="Z137" i="1" s="1"/>
  <c r="T137" i="1"/>
  <c r="R137" i="1"/>
  <c r="L137" i="1"/>
  <c r="M137" i="1" s="1"/>
  <c r="P137" i="1" s="1"/>
  <c r="K137" i="1"/>
  <c r="X136" i="1"/>
  <c r="U136" i="1"/>
  <c r="T136" i="1"/>
  <c r="R136" i="1"/>
  <c r="L136" i="1"/>
  <c r="M136" i="1" s="1"/>
  <c r="P136" i="1" s="1"/>
  <c r="K136" i="1"/>
  <c r="X135" i="1"/>
  <c r="U135" i="1"/>
  <c r="Y135" i="1" s="1"/>
  <c r="Z135" i="1" s="1"/>
  <c r="T135" i="1"/>
  <c r="R135" i="1"/>
  <c r="L135" i="1"/>
  <c r="M135" i="1" s="1"/>
  <c r="P135" i="1" s="1"/>
  <c r="K135" i="1"/>
  <c r="W134" i="1"/>
  <c r="S134" i="1"/>
  <c r="Q134" i="1"/>
  <c r="X133" i="1"/>
  <c r="U133" i="1"/>
  <c r="Y133" i="1" s="1"/>
  <c r="Z133" i="1" s="1"/>
  <c r="T133" i="1"/>
  <c r="R133" i="1"/>
  <c r="L133" i="1"/>
  <c r="K133" i="1"/>
  <c r="X132" i="1"/>
  <c r="U132" i="1"/>
  <c r="Y132" i="1" s="1"/>
  <c r="Z132" i="1" s="1"/>
  <c r="T132" i="1"/>
  <c r="R132" i="1"/>
  <c r="L132" i="1"/>
  <c r="K132" i="1"/>
  <c r="X131" i="1"/>
  <c r="U131" i="1"/>
  <c r="Y131" i="1" s="1"/>
  <c r="Z131" i="1" s="1"/>
  <c r="T131" i="1"/>
  <c r="R131" i="1"/>
  <c r="L131" i="1"/>
  <c r="K131" i="1"/>
  <c r="X130" i="1"/>
  <c r="U130" i="1"/>
  <c r="V130" i="1" s="1"/>
  <c r="T130" i="1"/>
  <c r="R130" i="1"/>
  <c r="L130" i="1"/>
  <c r="K130" i="1"/>
  <c r="X129" i="1"/>
  <c r="U129" i="1"/>
  <c r="V129" i="1" s="1"/>
  <c r="T129" i="1"/>
  <c r="R129" i="1"/>
  <c r="L129" i="1"/>
  <c r="K129" i="1"/>
  <c r="X128" i="1"/>
  <c r="U128" i="1"/>
  <c r="V128" i="1" s="1"/>
  <c r="T128" i="1"/>
  <c r="R128" i="1"/>
  <c r="L128" i="1"/>
  <c r="K128" i="1"/>
  <c r="W127" i="1"/>
  <c r="S127" i="1"/>
  <c r="Q127" i="1"/>
  <c r="E127" i="1"/>
  <c r="F127" i="1" s="1"/>
  <c r="U126" i="1"/>
  <c r="Y126" i="1" s="1"/>
  <c r="T126" i="1"/>
  <c r="R126" i="1"/>
  <c r="L126" i="1"/>
  <c r="M126" i="1" s="1"/>
  <c r="E126" i="1"/>
  <c r="F126" i="1" s="1"/>
  <c r="X125" i="1"/>
  <c r="U125" i="1"/>
  <c r="V125" i="1" s="1"/>
  <c r="T125" i="1"/>
  <c r="R125" i="1"/>
  <c r="L125" i="1"/>
  <c r="K125" i="1"/>
  <c r="X124" i="1"/>
  <c r="U124" i="1"/>
  <c r="V124" i="1" s="1"/>
  <c r="T124" i="1"/>
  <c r="R124" i="1"/>
  <c r="L124" i="1"/>
  <c r="K124" i="1"/>
  <c r="X123" i="1"/>
  <c r="U123" i="1"/>
  <c r="V123" i="1" s="1"/>
  <c r="T123" i="1"/>
  <c r="R123" i="1"/>
  <c r="L123" i="1"/>
  <c r="K123" i="1"/>
  <c r="X122" i="1"/>
  <c r="U122" i="1"/>
  <c r="V122" i="1" s="1"/>
  <c r="T122" i="1"/>
  <c r="R122" i="1"/>
  <c r="L122" i="1"/>
  <c r="M122" i="1" s="1"/>
  <c r="P122" i="1" s="1"/>
  <c r="K122" i="1"/>
  <c r="X121" i="1"/>
  <c r="U121" i="1"/>
  <c r="T121" i="1"/>
  <c r="R121" i="1"/>
  <c r="L121" i="1"/>
  <c r="M121" i="1" s="1"/>
  <c r="P121" i="1" s="1"/>
  <c r="K121" i="1"/>
  <c r="W120" i="1"/>
  <c r="S120" i="1"/>
  <c r="Q120" i="1"/>
  <c r="X119" i="1"/>
  <c r="U119" i="1"/>
  <c r="T119" i="1"/>
  <c r="R119" i="1"/>
  <c r="L119" i="1"/>
  <c r="M119" i="1" s="1"/>
  <c r="P119" i="1" s="1"/>
  <c r="K119" i="1"/>
  <c r="E119" i="1"/>
  <c r="U116" i="1"/>
  <c r="T116" i="1"/>
  <c r="R116" i="1"/>
  <c r="L116" i="1"/>
  <c r="M116" i="1" s="1"/>
  <c r="O116" i="1" s="1"/>
  <c r="K116" i="1"/>
  <c r="U115" i="1"/>
  <c r="T115" i="1"/>
  <c r="R115" i="1"/>
  <c r="L115" i="1"/>
  <c r="K115" i="1"/>
  <c r="X114" i="1"/>
  <c r="W114" i="1"/>
  <c r="S114" i="1"/>
  <c r="Q114" i="1"/>
  <c r="X113" i="1"/>
  <c r="U113" i="1"/>
  <c r="Y113" i="1" s="1"/>
  <c r="Z113" i="1" s="1"/>
  <c r="T113" i="1"/>
  <c r="R113" i="1"/>
  <c r="L113" i="1"/>
  <c r="K113" i="1"/>
  <c r="X112" i="1"/>
  <c r="U112" i="1"/>
  <c r="Y112" i="1" s="1"/>
  <c r="T112" i="1"/>
  <c r="R112" i="1"/>
  <c r="L112" i="1"/>
  <c r="M112" i="1" s="1"/>
  <c r="O112" i="1" s="1"/>
  <c r="K112" i="1"/>
  <c r="X111" i="1"/>
  <c r="U111" i="1"/>
  <c r="T111" i="1"/>
  <c r="R111" i="1"/>
  <c r="L111" i="1"/>
  <c r="K111" i="1"/>
  <c r="W110" i="1"/>
  <c r="S110" i="1"/>
  <c r="Q110" i="1"/>
  <c r="W109" i="1"/>
  <c r="X109" i="1" s="1"/>
  <c r="U109" i="1"/>
  <c r="V109" i="1" s="1"/>
  <c r="T109" i="1"/>
  <c r="R109" i="1"/>
  <c r="L109" i="1"/>
  <c r="K109" i="1"/>
  <c r="X108" i="1"/>
  <c r="U108" i="1"/>
  <c r="V108" i="1" s="1"/>
  <c r="T108" i="1"/>
  <c r="R108" i="1"/>
  <c r="L108" i="1"/>
  <c r="M108" i="1" s="1"/>
  <c r="P108" i="1" s="1"/>
  <c r="X107" i="1"/>
  <c r="U107" i="1"/>
  <c r="T107" i="1"/>
  <c r="R107" i="1"/>
  <c r="L107" i="1"/>
  <c r="M107" i="1" s="1"/>
  <c r="P107" i="1" s="1"/>
  <c r="K107" i="1"/>
  <c r="X106" i="1"/>
  <c r="U106" i="1"/>
  <c r="Y106" i="1" s="1"/>
  <c r="Z106" i="1" s="1"/>
  <c r="T106" i="1"/>
  <c r="R106" i="1"/>
  <c r="L106" i="1"/>
  <c r="K106" i="1"/>
  <c r="W105" i="1"/>
  <c r="S105" i="1"/>
  <c r="Q105" i="1"/>
  <c r="K105" i="1"/>
  <c r="X104" i="1"/>
  <c r="U104" i="1"/>
  <c r="V104" i="1" s="1"/>
  <c r="T104" i="1"/>
  <c r="R104" i="1"/>
  <c r="L104" i="1"/>
  <c r="M104" i="1" s="1"/>
  <c r="O104" i="1" s="1"/>
  <c r="K104" i="1"/>
  <c r="X103" i="1"/>
  <c r="U103" i="1"/>
  <c r="T103" i="1"/>
  <c r="R103" i="1"/>
  <c r="L103" i="1"/>
  <c r="K103" i="1"/>
  <c r="X102" i="1"/>
  <c r="U102" i="1"/>
  <c r="T102" i="1"/>
  <c r="R102" i="1"/>
  <c r="L102" i="1"/>
  <c r="M102" i="1" s="1"/>
  <c r="O102" i="1" s="1"/>
  <c r="K102" i="1"/>
  <c r="W101" i="1"/>
  <c r="S101" i="1"/>
  <c r="Q101" i="1"/>
  <c r="K101" i="1"/>
  <c r="E101" i="1"/>
  <c r="F101" i="1" s="1"/>
  <c r="X100" i="1"/>
  <c r="U100" i="1"/>
  <c r="V100" i="1" s="1"/>
  <c r="T100" i="1"/>
  <c r="R100" i="1"/>
  <c r="L100" i="1"/>
  <c r="M100" i="1" s="1"/>
  <c r="P100" i="1" s="1"/>
  <c r="K100" i="1"/>
  <c r="E100" i="1"/>
  <c r="F100" i="1" s="1"/>
  <c r="X99" i="1"/>
  <c r="U99" i="1"/>
  <c r="T99" i="1"/>
  <c r="R99" i="1"/>
  <c r="L99" i="1"/>
  <c r="M99" i="1" s="1"/>
  <c r="P99" i="1" s="1"/>
  <c r="K99" i="1"/>
  <c r="E99" i="1"/>
  <c r="L98" i="1"/>
  <c r="L96" i="1"/>
  <c r="M96" i="1" s="1"/>
  <c r="O96" i="1" s="1"/>
  <c r="E96" i="1"/>
  <c r="F96" i="1" s="1"/>
  <c r="X95" i="1"/>
  <c r="U95" i="1"/>
  <c r="V95" i="1" s="1"/>
  <c r="T95" i="1"/>
  <c r="R95" i="1"/>
  <c r="L95" i="1"/>
  <c r="K95" i="1"/>
  <c r="X94" i="1"/>
  <c r="U94" i="1"/>
  <c r="V94" i="1" s="1"/>
  <c r="T94" i="1"/>
  <c r="R94" i="1"/>
  <c r="L94" i="1"/>
  <c r="K94" i="1"/>
  <c r="X93" i="1"/>
  <c r="U93" i="1"/>
  <c r="Y93" i="1" s="1"/>
  <c r="T93" i="1"/>
  <c r="R93" i="1"/>
  <c r="L93" i="1"/>
  <c r="M93" i="1" s="1"/>
  <c r="O93" i="1" s="1"/>
  <c r="K93" i="1"/>
  <c r="W92" i="1"/>
  <c r="S92" i="1"/>
  <c r="Q92" i="1"/>
  <c r="X90" i="1"/>
  <c r="U90" i="1"/>
  <c r="Y90" i="1" s="1"/>
  <c r="T90" i="1"/>
  <c r="R90" i="1"/>
  <c r="L90" i="1"/>
  <c r="M90" i="1" s="1"/>
  <c r="O90" i="1" s="1"/>
  <c r="K90" i="1"/>
  <c r="X89" i="1"/>
  <c r="U89" i="1"/>
  <c r="Y89" i="1" s="1"/>
  <c r="T89" i="1"/>
  <c r="R89" i="1"/>
  <c r="L89" i="1"/>
  <c r="M89" i="1" s="1"/>
  <c r="O89" i="1" s="1"/>
  <c r="K89" i="1"/>
  <c r="X88" i="1"/>
  <c r="U88" i="1"/>
  <c r="Y88" i="1" s="1"/>
  <c r="Z88" i="1" s="1"/>
  <c r="T88" i="1"/>
  <c r="R88" i="1"/>
  <c r="L88" i="1"/>
  <c r="K88" i="1"/>
  <c r="X87" i="1"/>
  <c r="U87" i="1"/>
  <c r="T87" i="1"/>
  <c r="R87" i="1"/>
  <c r="L87" i="1"/>
  <c r="M87" i="1" s="1"/>
  <c r="O87" i="1" s="1"/>
  <c r="K87" i="1"/>
  <c r="X86" i="1"/>
  <c r="U86" i="1"/>
  <c r="T86" i="1"/>
  <c r="R86" i="1"/>
  <c r="L86" i="1"/>
  <c r="K86" i="1"/>
  <c r="X85" i="1"/>
  <c r="U85" i="1"/>
  <c r="V85" i="1" s="1"/>
  <c r="T85" i="1"/>
  <c r="R85" i="1"/>
  <c r="J85" i="1"/>
  <c r="L85" i="1" s="1"/>
  <c r="M85" i="1" s="1"/>
  <c r="O85" i="1" s="1"/>
  <c r="X84" i="1"/>
  <c r="U84" i="1"/>
  <c r="Y84" i="1" s="1"/>
  <c r="T84" i="1"/>
  <c r="R84" i="1"/>
  <c r="L84" i="1"/>
  <c r="K84" i="1"/>
  <c r="W83" i="1"/>
  <c r="S83" i="1"/>
  <c r="Q83" i="1"/>
  <c r="X82" i="1"/>
  <c r="U82" i="1"/>
  <c r="Y82" i="1" s="1"/>
  <c r="Z82" i="1" s="1"/>
  <c r="T82" i="1"/>
  <c r="R82" i="1"/>
  <c r="L82" i="1"/>
  <c r="K82" i="1"/>
  <c r="E82" i="1"/>
  <c r="F82" i="1" s="1"/>
  <c r="X81" i="1"/>
  <c r="U81" i="1"/>
  <c r="V81" i="1" s="1"/>
  <c r="T81" i="1"/>
  <c r="R81" i="1"/>
  <c r="L81" i="1"/>
  <c r="M81" i="1" s="1"/>
  <c r="P81" i="1" s="1"/>
  <c r="K81" i="1"/>
  <c r="E81" i="1"/>
  <c r="F81" i="1" s="1"/>
  <c r="X80" i="1"/>
  <c r="U80" i="1"/>
  <c r="Y80" i="1" s="1"/>
  <c r="Z80" i="1" s="1"/>
  <c r="T80" i="1"/>
  <c r="R80" i="1"/>
  <c r="L80" i="1"/>
  <c r="K80" i="1"/>
  <c r="X79" i="1"/>
  <c r="U79" i="1"/>
  <c r="T79" i="1"/>
  <c r="R79" i="1"/>
  <c r="K79" i="1"/>
  <c r="L79" i="1" s="1"/>
  <c r="M79" i="1" s="1"/>
  <c r="O79" i="1" s="1"/>
  <c r="W78" i="1"/>
  <c r="S78" i="1"/>
  <c r="Q78" i="1"/>
  <c r="E78" i="1"/>
  <c r="F78" i="1" s="1"/>
  <c r="X77" i="1"/>
  <c r="U77" i="1"/>
  <c r="T77" i="1"/>
  <c r="R77" i="1"/>
  <c r="L77" i="1"/>
  <c r="M77" i="1" s="1"/>
  <c r="O77" i="1" s="1"/>
  <c r="O74" i="1" s="1"/>
  <c r="K77" i="1"/>
  <c r="X76" i="1"/>
  <c r="U76" i="1"/>
  <c r="Y76" i="1" s="1"/>
  <c r="Z76" i="1" s="1"/>
  <c r="T76" i="1"/>
  <c r="R76" i="1"/>
  <c r="L76" i="1"/>
  <c r="K76" i="1"/>
  <c r="X75" i="1"/>
  <c r="U75" i="1"/>
  <c r="V75" i="1" s="1"/>
  <c r="T75" i="1"/>
  <c r="R75" i="1"/>
  <c r="L75" i="1"/>
  <c r="K75" i="1"/>
  <c r="W74" i="1"/>
  <c r="S74" i="1"/>
  <c r="Q74" i="1"/>
  <c r="E74" i="1"/>
  <c r="F74" i="1" s="1"/>
  <c r="F73" i="1"/>
  <c r="W72" i="1"/>
  <c r="S72" i="1"/>
  <c r="Q72" i="1"/>
  <c r="X71" i="1"/>
  <c r="U71" i="1"/>
  <c r="Y71" i="1" s="1"/>
  <c r="T71" i="1"/>
  <c r="R71" i="1"/>
  <c r="L71" i="1"/>
  <c r="M71" i="1" s="1"/>
  <c r="O71" i="1" s="1"/>
  <c r="K71" i="1"/>
  <c r="E71" i="1"/>
  <c r="F71" i="1" s="1"/>
  <c r="X70" i="1"/>
  <c r="U70" i="1"/>
  <c r="Y70" i="1" s="1"/>
  <c r="T70" i="1"/>
  <c r="R70" i="1"/>
  <c r="L70" i="1"/>
  <c r="K70" i="1"/>
  <c r="E70" i="1"/>
  <c r="F70" i="1" s="1"/>
  <c r="X69" i="1"/>
  <c r="U69" i="1"/>
  <c r="V69" i="1" s="1"/>
  <c r="T69" i="1"/>
  <c r="R69" i="1"/>
  <c r="L69" i="1"/>
  <c r="M69" i="1" s="1"/>
  <c r="O69" i="1" s="1"/>
  <c r="K69" i="1"/>
  <c r="X68" i="1"/>
  <c r="U68" i="1"/>
  <c r="T68" i="1"/>
  <c r="R68" i="1"/>
  <c r="L68" i="1"/>
  <c r="K68" i="1"/>
  <c r="X67" i="1"/>
  <c r="U67" i="1"/>
  <c r="V67" i="1" s="1"/>
  <c r="T67" i="1"/>
  <c r="R67" i="1"/>
  <c r="M67" i="1"/>
  <c r="O67" i="1" s="1"/>
  <c r="K67" i="1"/>
  <c r="E67" i="1"/>
  <c r="F67" i="1" s="1"/>
  <c r="X66" i="1"/>
  <c r="U66" i="1"/>
  <c r="V66" i="1" s="1"/>
  <c r="T66" i="1"/>
  <c r="R66" i="1"/>
  <c r="L66" i="1"/>
  <c r="M66" i="1" s="1"/>
  <c r="N66" i="1" s="1"/>
  <c r="N72" i="1" s="1"/>
  <c r="N149" i="1" s="1"/>
  <c r="K66" i="1"/>
  <c r="E66" i="1"/>
  <c r="F66" i="1" s="1"/>
  <c r="X65" i="1"/>
  <c r="U65" i="1"/>
  <c r="V65" i="1" s="1"/>
  <c r="T65" i="1"/>
  <c r="R65" i="1"/>
  <c r="L65" i="1"/>
  <c r="K65" i="1"/>
  <c r="X64" i="1"/>
  <c r="U64" i="1"/>
  <c r="V64" i="1" s="1"/>
  <c r="T64" i="1"/>
  <c r="R64" i="1"/>
  <c r="L64" i="1"/>
  <c r="K64" i="1"/>
  <c r="X63" i="1"/>
  <c r="U63" i="1"/>
  <c r="Y63" i="1" s="1"/>
  <c r="T63" i="1"/>
  <c r="R63" i="1"/>
  <c r="L63" i="1"/>
  <c r="M63" i="1" s="1"/>
  <c r="O63" i="1" s="1"/>
  <c r="K63" i="1"/>
  <c r="X62" i="1"/>
  <c r="U62" i="1"/>
  <c r="Y62" i="1" s="1"/>
  <c r="Z62" i="1" s="1"/>
  <c r="T62" i="1"/>
  <c r="R62" i="1"/>
  <c r="E62" i="1"/>
  <c r="F62" i="1" s="1"/>
  <c r="X61" i="1"/>
  <c r="U61" i="1"/>
  <c r="V61" i="1" s="1"/>
  <c r="T61" i="1"/>
  <c r="R61" i="1"/>
  <c r="L61" i="1"/>
  <c r="M61" i="1" s="1"/>
  <c r="O61" i="1" s="1"/>
  <c r="K61" i="1"/>
  <c r="X60" i="1"/>
  <c r="U60" i="1"/>
  <c r="V60" i="1" s="1"/>
  <c r="T60" i="1"/>
  <c r="R60" i="1"/>
  <c r="L60" i="1"/>
  <c r="M60" i="1" s="1"/>
  <c r="O60" i="1" s="1"/>
  <c r="K60" i="1"/>
  <c r="E60" i="1"/>
  <c r="F60" i="1" s="1"/>
  <c r="X59" i="1"/>
  <c r="U59" i="1"/>
  <c r="V59" i="1" s="1"/>
  <c r="T59" i="1"/>
  <c r="R59" i="1"/>
  <c r="L59" i="1"/>
  <c r="M59" i="1" s="1"/>
  <c r="O59" i="1" s="1"/>
  <c r="K59" i="1"/>
  <c r="X58" i="1"/>
  <c r="U58" i="1"/>
  <c r="V58" i="1" s="1"/>
  <c r="T58" i="1"/>
  <c r="R58" i="1"/>
  <c r="J58" i="1"/>
  <c r="L58" i="1" s="1"/>
  <c r="M58" i="1" s="1"/>
  <c r="P58" i="1" s="1"/>
  <c r="P72" i="1" s="1"/>
  <c r="E58" i="1"/>
  <c r="F58" i="1" s="1"/>
  <c r="X57" i="1"/>
  <c r="U57" i="1"/>
  <c r="Y57" i="1" s="1"/>
  <c r="T57" i="1"/>
  <c r="R57" i="1"/>
  <c r="L57" i="1"/>
  <c r="M57" i="1" s="1"/>
  <c r="O57" i="1" s="1"/>
  <c r="K57" i="1"/>
  <c r="E57" i="1"/>
  <c r="F56" i="1"/>
  <c r="W53" i="1"/>
  <c r="X53" i="1" s="1"/>
  <c r="S53" i="1"/>
  <c r="Q53" i="1"/>
  <c r="X52" i="1"/>
  <c r="U52" i="1"/>
  <c r="V52" i="1" s="1"/>
  <c r="V53" i="1" s="1"/>
  <c r="T52" i="1"/>
  <c r="T53" i="1" s="1"/>
  <c r="R52" i="1"/>
  <c r="R53" i="1" s="1"/>
  <c r="L52" i="1"/>
  <c r="M52" i="1" s="1"/>
  <c r="O52" i="1" s="1"/>
  <c r="O53" i="1" s="1"/>
  <c r="K52" i="1"/>
  <c r="F51" i="1"/>
  <c r="W50" i="1"/>
  <c r="S50" i="1"/>
  <c r="Q50" i="1"/>
  <c r="X49" i="1"/>
  <c r="U49" i="1"/>
  <c r="T49" i="1"/>
  <c r="R49" i="1"/>
  <c r="J49" i="1"/>
  <c r="K49" i="1" s="1"/>
  <c r="E49" i="1"/>
  <c r="F49" i="1" s="1"/>
  <c r="X48" i="1"/>
  <c r="U48" i="1"/>
  <c r="Y48" i="1" s="1"/>
  <c r="Z48" i="1" s="1"/>
  <c r="T48" i="1"/>
  <c r="R48" i="1"/>
  <c r="L48" i="1"/>
  <c r="K48" i="1"/>
  <c r="E48" i="1"/>
  <c r="F48" i="1" s="1"/>
  <c r="X47" i="1"/>
  <c r="U47" i="1"/>
  <c r="V47" i="1" s="1"/>
  <c r="T47" i="1"/>
  <c r="R47" i="1"/>
  <c r="L47" i="1"/>
  <c r="M47" i="1" s="1"/>
  <c r="O47" i="1" s="1"/>
  <c r="K47" i="1"/>
  <c r="E47" i="1"/>
  <c r="X46" i="1"/>
  <c r="U46" i="1"/>
  <c r="T46" i="1"/>
  <c r="R46" i="1"/>
  <c r="L46" i="1"/>
  <c r="K46" i="1"/>
  <c r="E46" i="1"/>
  <c r="F46" i="1" s="1"/>
  <c r="F45" i="1"/>
  <c r="W43" i="1"/>
  <c r="S43" i="1"/>
  <c r="Q43" i="1"/>
  <c r="X42" i="1"/>
  <c r="U42" i="1"/>
  <c r="V42" i="1" s="1"/>
  <c r="T42" i="1"/>
  <c r="R42" i="1"/>
  <c r="L42" i="1"/>
  <c r="K42" i="1"/>
  <c r="X41" i="1"/>
  <c r="U41" i="1"/>
  <c r="V41" i="1" s="1"/>
  <c r="T41" i="1"/>
  <c r="R41" i="1"/>
  <c r="J41" i="1"/>
  <c r="L41" i="1" s="1"/>
  <c r="M41" i="1" s="1"/>
  <c r="P41" i="1" s="1"/>
  <c r="E41" i="1"/>
  <c r="F41" i="1" s="1"/>
  <c r="X40" i="1"/>
  <c r="U40" i="1"/>
  <c r="Y40" i="1" s="1"/>
  <c r="T40" i="1"/>
  <c r="R40" i="1"/>
  <c r="J40" i="1"/>
  <c r="L40" i="1" s="1"/>
  <c r="E40" i="1"/>
  <c r="F40" i="1" s="1"/>
  <c r="X39" i="1"/>
  <c r="U39" i="1"/>
  <c r="V39" i="1" s="1"/>
  <c r="T39" i="1"/>
  <c r="R39" i="1"/>
  <c r="J39" i="1"/>
  <c r="E39" i="1"/>
  <c r="F39" i="1" s="1"/>
  <c r="X38" i="1"/>
  <c r="U38" i="1"/>
  <c r="Y38" i="1" s="1"/>
  <c r="Z38" i="1" s="1"/>
  <c r="T38" i="1"/>
  <c r="R38" i="1"/>
  <c r="L38" i="1"/>
  <c r="M38" i="1" s="1"/>
  <c r="P38" i="1" s="1"/>
  <c r="K38" i="1"/>
  <c r="E38" i="1"/>
  <c r="F38" i="1" s="1"/>
  <c r="X37" i="1"/>
  <c r="U37" i="1"/>
  <c r="Y37" i="1" s="1"/>
  <c r="T37" i="1"/>
  <c r="R37" i="1"/>
  <c r="L37" i="1"/>
  <c r="K37" i="1"/>
  <c r="E37" i="1"/>
  <c r="F37" i="1" s="1"/>
  <c r="W35" i="1"/>
  <c r="S35" i="1"/>
  <c r="Q35" i="1"/>
  <c r="X34" i="1"/>
  <c r="U34" i="1"/>
  <c r="Y34" i="1" s="1"/>
  <c r="T34" i="1"/>
  <c r="R34" i="1"/>
  <c r="L34" i="1"/>
  <c r="M34" i="1" s="1"/>
  <c r="O34" i="1" s="1"/>
  <c r="K34" i="1"/>
  <c r="X33" i="1"/>
  <c r="U33" i="1"/>
  <c r="T33" i="1"/>
  <c r="R33" i="1"/>
  <c r="J33" i="1"/>
  <c r="L33" i="1" s="1"/>
  <c r="E33" i="1"/>
  <c r="F33" i="1" s="1"/>
  <c r="X32" i="1"/>
  <c r="U32" i="1"/>
  <c r="V32" i="1" s="1"/>
  <c r="T32" i="1"/>
  <c r="R32" i="1"/>
  <c r="J32" i="1"/>
  <c r="L32" i="1" s="1"/>
  <c r="M32" i="1" s="1"/>
  <c r="O32" i="1" s="1"/>
  <c r="E32" i="1"/>
  <c r="F32" i="1" s="1"/>
  <c r="X31" i="1"/>
  <c r="U31" i="1"/>
  <c r="Y31" i="1" s="1"/>
  <c r="Z31" i="1" s="1"/>
  <c r="T31" i="1"/>
  <c r="R31" i="1"/>
  <c r="J31" i="1"/>
  <c r="L31" i="1" s="1"/>
  <c r="M31" i="1" s="1"/>
  <c r="O31" i="1" s="1"/>
  <c r="E31" i="1"/>
  <c r="F31" i="1" s="1"/>
  <c r="X30" i="1"/>
  <c r="U30" i="1"/>
  <c r="Y30" i="1" s="1"/>
  <c r="T30" i="1"/>
  <c r="R30" i="1"/>
  <c r="L30" i="1"/>
  <c r="M30" i="1" s="1"/>
  <c r="O30" i="1" s="1"/>
  <c r="K30" i="1"/>
  <c r="E30" i="1"/>
  <c r="X29" i="1"/>
  <c r="U29" i="1"/>
  <c r="Y29" i="1" s="1"/>
  <c r="Z29" i="1" s="1"/>
  <c r="T29" i="1"/>
  <c r="R29" i="1"/>
  <c r="L29" i="1"/>
  <c r="K29" i="1"/>
  <c r="E29" i="1"/>
  <c r="F29" i="1" s="1"/>
  <c r="F27" i="1"/>
  <c r="W26" i="1"/>
  <c r="S26" i="1"/>
  <c r="Q26" i="1"/>
  <c r="X25" i="1"/>
  <c r="U25" i="1"/>
  <c r="V25" i="1" s="1"/>
  <c r="T25" i="1"/>
  <c r="R25" i="1"/>
  <c r="J25" i="1"/>
  <c r="L25" i="1" s="1"/>
  <c r="M25" i="1" s="1"/>
  <c r="P25" i="1" s="1"/>
  <c r="P26" i="1" s="1"/>
  <c r="E25" i="1"/>
  <c r="X24" i="1"/>
  <c r="U24" i="1"/>
  <c r="V24" i="1" s="1"/>
  <c r="T24" i="1"/>
  <c r="R24" i="1"/>
  <c r="J24" i="1"/>
  <c r="E24" i="1"/>
  <c r="F24" i="1" s="1"/>
  <c r="F23" i="1"/>
  <c r="W21" i="1"/>
  <c r="S21" i="1"/>
  <c r="Q21" i="1"/>
  <c r="X20" i="1"/>
  <c r="U20" i="1"/>
  <c r="Y20" i="1" s="1"/>
  <c r="Z20" i="1" s="1"/>
  <c r="T20" i="1"/>
  <c r="R20" i="1"/>
  <c r="L20" i="1"/>
  <c r="C20" i="1"/>
  <c r="E20" i="1" s="1"/>
  <c r="F20" i="1" s="1"/>
  <c r="X19" i="1"/>
  <c r="U19" i="1"/>
  <c r="V19" i="1" s="1"/>
  <c r="T19" i="1"/>
  <c r="R19" i="1"/>
  <c r="J19" i="1"/>
  <c r="L19" i="1" s="1"/>
  <c r="E19" i="1"/>
  <c r="F19" i="1" s="1"/>
  <c r="X18" i="1"/>
  <c r="U18" i="1"/>
  <c r="Y18" i="1" s="1"/>
  <c r="Z18" i="1" s="1"/>
  <c r="T18" i="1"/>
  <c r="R18" i="1"/>
  <c r="L18" i="1"/>
  <c r="M18" i="1" s="1"/>
  <c r="P18" i="1" s="1"/>
  <c r="K18" i="1"/>
  <c r="E18" i="1"/>
  <c r="F18" i="1" s="1"/>
  <c r="X17" i="1"/>
  <c r="U17" i="1"/>
  <c r="Y17" i="1" s="1"/>
  <c r="T17" i="1"/>
  <c r="R17" i="1"/>
  <c r="J17" i="1"/>
  <c r="L17" i="1" s="1"/>
  <c r="M17" i="1" s="1"/>
  <c r="P17" i="1" s="1"/>
  <c r="C17" i="1"/>
  <c r="E17" i="1" s="1"/>
  <c r="F16" i="1"/>
  <c r="F15" i="1"/>
  <c r="S14" i="1"/>
  <c r="Q14" i="1"/>
  <c r="W13" i="1"/>
  <c r="U13" i="1"/>
  <c r="V13" i="1" s="1"/>
  <c r="T13" i="1"/>
  <c r="R13" i="1"/>
  <c r="L13" i="1"/>
  <c r="K13" i="1"/>
  <c r="E13" i="1"/>
  <c r="F13" i="1" s="1"/>
  <c r="X12" i="1"/>
  <c r="U12" i="1"/>
  <c r="Y12" i="1" s="1"/>
  <c r="T12" i="1"/>
  <c r="R12" i="1"/>
  <c r="L12" i="1"/>
  <c r="M12" i="1" s="1"/>
  <c r="O12" i="1" s="1"/>
  <c r="K12" i="1"/>
  <c r="X11" i="1"/>
  <c r="U11" i="1"/>
  <c r="Y11" i="1" s="1"/>
  <c r="T11" i="1"/>
  <c r="R11" i="1"/>
  <c r="J11" i="1"/>
  <c r="L11" i="1" s="1"/>
  <c r="M11" i="1" s="1"/>
  <c r="O11" i="1" s="1"/>
  <c r="E11" i="1"/>
  <c r="F11" i="1" s="1"/>
  <c r="X10" i="1"/>
  <c r="U10" i="1"/>
  <c r="T10" i="1"/>
  <c r="R10" i="1"/>
  <c r="L10" i="1"/>
  <c r="M10" i="1" s="1"/>
  <c r="O10" i="1" s="1"/>
  <c r="K10" i="1"/>
  <c r="E10" i="1"/>
  <c r="F10" i="1" s="1"/>
  <c r="X9" i="1"/>
  <c r="U9" i="1"/>
  <c r="Y9" i="1" s="1"/>
  <c r="T9" i="1"/>
  <c r="R9" i="1"/>
  <c r="J9" i="1"/>
  <c r="K9" i="1" s="1"/>
  <c r="E9" i="1"/>
  <c r="F9" i="1" s="1"/>
  <c r="M13" i="1" l="1"/>
  <c r="N13" i="1" s="1"/>
  <c r="N14" i="1" s="1"/>
  <c r="N22" i="1" s="1"/>
  <c r="N54" i="1" s="1"/>
  <c r="N151" i="1" s="1"/>
  <c r="N153" i="1" s="1"/>
  <c r="N156" i="1" s="1"/>
  <c r="N159" i="1" s="1"/>
  <c r="N160" i="1" s="1"/>
  <c r="L83" i="1"/>
  <c r="T26" i="1"/>
  <c r="Y95" i="1"/>
  <c r="AA95" i="1" s="1"/>
  <c r="AB95" i="1" s="1"/>
  <c r="W146" i="1"/>
  <c r="W97" i="1"/>
  <c r="Y145" i="1"/>
  <c r="AA145" i="1" s="1"/>
  <c r="AB145" i="1" s="1"/>
  <c r="Q44" i="1"/>
  <c r="S44" i="1"/>
  <c r="Y47" i="1"/>
  <c r="Z47" i="1" s="1"/>
  <c r="AA70" i="1"/>
  <c r="AB70" i="1" s="1"/>
  <c r="K40" i="1"/>
  <c r="U92" i="1"/>
  <c r="Y60" i="1"/>
  <c r="Z60" i="1" s="1"/>
  <c r="E26" i="1"/>
  <c r="F26" i="1" s="1"/>
  <c r="T114" i="1"/>
  <c r="V71" i="1"/>
  <c r="AA62" i="1"/>
  <c r="U83" i="1"/>
  <c r="U14" i="1"/>
  <c r="R26" i="1"/>
  <c r="Q146" i="1"/>
  <c r="X110" i="1"/>
  <c r="T110" i="1"/>
  <c r="R105" i="1"/>
  <c r="T105" i="1"/>
  <c r="T101" i="1"/>
  <c r="V84" i="1"/>
  <c r="X78" i="1"/>
  <c r="Y75" i="1"/>
  <c r="Z75" i="1" s="1"/>
  <c r="X105" i="1"/>
  <c r="Y100" i="1"/>
  <c r="Z100" i="1" s="1"/>
  <c r="W44" i="1"/>
  <c r="Y41" i="1"/>
  <c r="Z41" i="1" s="1"/>
  <c r="L49" i="1"/>
  <c r="M49" i="1" s="1"/>
  <c r="O49" i="1" s="1"/>
  <c r="T74" i="1"/>
  <c r="R92" i="1"/>
  <c r="R101" i="1"/>
  <c r="V135" i="1"/>
  <c r="T43" i="1"/>
  <c r="V132" i="1"/>
  <c r="Y24" i="1"/>
  <c r="Z24" i="1" s="1"/>
  <c r="K32" i="1"/>
  <c r="R50" i="1"/>
  <c r="Y66" i="1"/>
  <c r="Z66" i="1" s="1"/>
  <c r="R110" i="1"/>
  <c r="Y39" i="1"/>
  <c r="Z39" i="1" s="1"/>
  <c r="S97" i="1"/>
  <c r="X74" i="1"/>
  <c r="X92" i="1"/>
  <c r="X21" i="1"/>
  <c r="L120" i="1"/>
  <c r="Y81" i="1"/>
  <c r="Z81" i="1" s="1"/>
  <c r="M106" i="1"/>
  <c r="P106" i="1" s="1"/>
  <c r="P105" i="1" s="1"/>
  <c r="P117" i="1" s="1"/>
  <c r="AA106" i="1"/>
  <c r="AB106" i="1" s="1"/>
  <c r="AD106" i="1" s="1"/>
  <c r="L105" i="1"/>
  <c r="V63" i="1"/>
  <c r="V143" i="1"/>
  <c r="Y143" i="1"/>
  <c r="AA143" i="1" s="1"/>
  <c r="AB143" i="1" s="1"/>
  <c r="Z30" i="1"/>
  <c r="M111" i="1"/>
  <c r="O111" i="1" s="1"/>
  <c r="L110" i="1"/>
  <c r="Z140" i="1"/>
  <c r="Y33" i="1"/>
  <c r="AA33" i="1" s="1"/>
  <c r="AB33" i="1" s="1"/>
  <c r="V33" i="1"/>
  <c r="X127" i="1"/>
  <c r="V68" i="1"/>
  <c r="Y68" i="1"/>
  <c r="V79" i="1"/>
  <c r="Y79" i="1"/>
  <c r="AA79" i="1" s="1"/>
  <c r="L9" i="1"/>
  <c r="L14" i="1" s="1"/>
  <c r="AA20" i="1"/>
  <c r="AB20" i="1" s="1"/>
  <c r="AE20" i="1" s="1"/>
  <c r="R14" i="1"/>
  <c r="Z71" i="1"/>
  <c r="Z89" i="1"/>
  <c r="AA89" i="1"/>
  <c r="AB89" i="1" s="1"/>
  <c r="AD89" i="1" s="1"/>
  <c r="Y121" i="1"/>
  <c r="Z121" i="1" s="1"/>
  <c r="U120" i="1"/>
  <c r="F99" i="1"/>
  <c r="E117" i="1"/>
  <c r="F117" i="1" s="1"/>
  <c r="Z9" i="1"/>
  <c r="L24" i="1"/>
  <c r="L26" i="1" s="1"/>
  <c r="K24" i="1"/>
  <c r="L39" i="1"/>
  <c r="L43" i="1" s="1"/>
  <c r="K39" i="1"/>
  <c r="V30" i="1"/>
  <c r="Z63" i="1"/>
  <c r="AA63" i="1"/>
  <c r="AB63" i="1" s="1"/>
  <c r="Y116" i="1"/>
  <c r="AA116" i="1" s="1"/>
  <c r="AB116" i="1" s="1"/>
  <c r="V116" i="1"/>
  <c r="Q97" i="1"/>
  <c r="V86" i="1"/>
  <c r="Y86" i="1"/>
  <c r="Z86" i="1" s="1"/>
  <c r="V144" i="1"/>
  <c r="Y144" i="1"/>
  <c r="Z144" i="1" s="1"/>
  <c r="V145" i="1"/>
  <c r="T21" i="1"/>
  <c r="V38" i="1"/>
  <c r="U21" i="1"/>
  <c r="F25" i="1"/>
  <c r="V40" i="1"/>
  <c r="Y122" i="1"/>
  <c r="Z122" i="1" s="1"/>
  <c r="R21" i="1"/>
  <c r="Y19" i="1"/>
  <c r="Z19" i="1" s="1"/>
  <c r="V20" i="1"/>
  <c r="R35" i="1"/>
  <c r="K33" i="1"/>
  <c r="Z34" i="1"/>
  <c r="U72" i="1"/>
  <c r="K58" i="1"/>
  <c r="Y58" i="1"/>
  <c r="Y65" i="1"/>
  <c r="Z65" i="1" s="1"/>
  <c r="M68" i="1"/>
  <c r="O68" i="1" s="1"/>
  <c r="AA76" i="1"/>
  <c r="AB76" i="1" s="1"/>
  <c r="AE76" i="1" s="1"/>
  <c r="K85" i="1"/>
  <c r="V88" i="1"/>
  <c r="Y94" i="1"/>
  <c r="AA94" i="1" s="1"/>
  <c r="AB94" i="1" s="1"/>
  <c r="U105" i="1"/>
  <c r="Y108" i="1"/>
  <c r="AA108" i="1" s="1"/>
  <c r="AB108" i="1" s="1"/>
  <c r="AD108" i="1" s="1"/>
  <c r="V113" i="1"/>
  <c r="Y123" i="1"/>
  <c r="Y128" i="1"/>
  <c r="Y129" i="1"/>
  <c r="AA129" i="1" s="1"/>
  <c r="AB129" i="1" s="1"/>
  <c r="AD129" i="1" s="1"/>
  <c r="Y130" i="1"/>
  <c r="AA130" i="1" s="1"/>
  <c r="AB130" i="1" s="1"/>
  <c r="AD130" i="1" s="1"/>
  <c r="R134" i="1"/>
  <c r="V140" i="1"/>
  <c r="X35" i="1"/>
  <c r="Q117" i="1"/>
  <c r="V133" i="1"/>
  <c r="T14" i="1"/>
  <c r="T78" i="1"/>
  <c r="X83" i="1"/>
  <c r="M95" i="1"/>
  <c r="O95" i="1" s="1"/>
  <c r="V131" i="1"/>
  <c r="K11" i="1"/>
  <c r="Q22" i="1"/>
  <c r="AA18" i="1"/>
  <c r="AB18" i="1" s="1"/>
  <c r="R43" i="1"/>
  <c r="AA38" i="1"/>
  <c r="AB38" i="1" s="1"/>
  <c r="L53" i="1"/>
  <c r="M53" i="1" s="1"/>
  <c r="V57" i="1"/>
  <c r="Y69" i="1"/>
  <c r="Z69" i="1" s="1"/>
  <c r="M76" i="1"/>
  <c r="P76" i="1" s="1"/>
  <c r="X101" i="1"/>
  <c r="Y109" i="1"/>
  <c r="Z109" i="1" s="1"/>
  <c r="R114" i="1"/>
  <c r="Y124" i="1"/>
  <c r="Z124" i="1" s="1"/>
  <c r="AA137" i="1"/>
  <c r="AB137" i="1" s="1"/>
  <c r="AE137" i="1" s="1"/>
  <c r="X134" i="1"/>
  <c r="X72" i="1"/>
  <c r="E35" i="1"/>
  <c r="F35" i="1" s="1"/>
  <c r="U53" i="1"/>
  <c r="R120" i="1"/>
  <c r="AA132" i="1"/>
  <c r="AB132" i="1" s="1"/>
  <c r="AD132" i="1" s="1"/>
  <c r="L35" i="1"/>
  <c r="V31" i="1"/>
  <c r="U127" i="1"/>
  <c r="V9" i="1"/>
  <c r="S22" i="1"/>
  <c r="X26" i="1"/>
  <c r="T35" i="1"/>
  <c r="AA31" i="1"/>
  <c r="AB31" i="1" s="1"/>
  <c r="Y32" i="1"/>
  <c r="AA32" i="1" s="1"/>
  <c r="AB32" i="1" s="1"/>
  <c r="R78" i="1"/>
  <c r="AA82" i="1"/>
  <c r="AB82" i="1" s="1"/>
  <c r="AJ82" i="1" s="1"/>
  <c r="L92" i="1"/>
  <c r="S117" i="1"/>
  <c r="E146" i="1"/>
  <c r="F146" i="1" s="1"/>
  <c r="T120" i="1"/>
  <c r="Y125" i="1"/>
  <c r="M19" i="1"/>
  <c r="P19" i="1" s="1"/>
  <c r="F14" i="1"/>
  <c r="Z17" i="1"/>
  <c r="AA17" i="1"/>
  <c r="AA12" i="1"/>
  <c r="AB12" i="1" s="1"/>
  <c r="Z12" i="1"/>
  <c r="L21" i="1"/>
  <c r="Z11" i="1"/>
  <c r="AA11" i="1"/>
  <c r="AB11" i="1" s="1"/>
  <c r="E21" i="1"/>
  <c r="F21" i="1" s="1"/>
  <c r="F17" i="1"/>
  <c r="V12" i="1"/>
  <c r="X13" i="1"/>
  <c r="X14" i="1" s="1"/>
  <c r="W14" i="1"/>
  <c r="W22" i="1" s="1"/>
  <c r="F30" i="1"/>
  <c r="Z37" i="1"/>
  <c r="Y13" i="1"/>
  <c r="AA13" i="1" s="1"/>
  <c r="U35" i="1"/>
  <c r="V29" i="1"/>
  <c r="V37" i="1"/>
  <c r="E50" i="1"/>
  <c r="F50" i="1" s="1"/>
  <c r="AA48" i="1"/>
  <c r="AB48" i="1" s="1"/>
  <c r="Y64" i="1"/>
  <c r="AA64" i="1" s="1"/>
  <c r="AB64" i="1" s="1"/>
  <c r="R74" i="1"/>
  <c r="V77" i="1"/>
  <c r="Y77" i="1"/>
  <c r="AA80" i="1"/>
  <c r="AB80" i="1" s="1"/>
  <c r="AD80" i="1" s="1"/>
  <c r="M82" i="1"/>
  <c r="P82" i="1" s="1"/>
  <c r="M88" i="1"/>
  <c r="O88" i="1" s="1"/>
  <c r="AA88" i="1"/>
  <c r="AB88" i="1" s="1"/>
  <c r="AD88" i="1" s="1"/>
  <c r="V112" i="1"/>
  <c r="V119" i="1"/>
  <c r="Y119" i="1"/>
  <c r="M130" i="1"/>
  <c r="O130" i="1" s="1"/>
  <c r="AA131" i="1"/>
  <c r="AB131" i="1" s="1"/>
  <c r="AD131" i="1" s="1"/>
  <c r="M131" i="1"/>
  <c r="O131" i="1" s="1"/>
  <c r="E14" i="1"/>
  <c r="V26" i="1"/>
  <c r="V10" i="1"/>
  <c r="V11" i="1"/>
  <c r="M46" i="1"/>
  <c r="O46" i="1" s="1"/>
  <c r="Y49" i="1"/>
  <c r="Z49" i="1" s="1"/>
  <c r="V49" i="1"/>
  <c r="M65" i="1"/>
  <c r="O65" i="1" s="1"/>
  <c r="M70" i="1"/>
  <c r="O70" i="1" s="1"/>
  <c r="L74" i="1"/>
  <c r="M75" i="1"/>
  <c r="P75" i="1" s="1"/>
  <c r="Y10" i="1"/>
  <c r="AA10" i="1" s="1"/>
  <c r="AB10" i="1" s="1"/>
  <c r="V17" i="1"/>
  <c r="V18" i="1"/>
  <c r="AA30" i="1"/>
  <c r="AB30" i="1" s="1"/>
  <c r="M33" i="1"/>
  <c r="O33" i="1" s="1"/>
  <c r="X43" i="1"/>
  <c r="K41" i="1"/>
  <c r="Y42" i="1"/>
  <c r="AA42" i="1" s="1"/>
  <c r="AB42" i="1" s="1"/>
  <c r="F47" i="1"/>
  <c r="Z57" i="1"/>
  <c r="L72" i="1"/>
  <c r="T92" i="1"/>
  <c r="M109" i="1"/>
  <c r="O109" i="1" s="1"/>
  <c r="V115" i="1"/>
  <c r="U114" i="1"/>
  <c r="Y115" i="1"/>
  <c r="AA115" i="1" s="1"/>
  <c r="U101" i="1"/>
  <c r="Y102" i="1"/>
  <c r="V102" i="1"/>
  <c r="Y103" i="1"/>
  <c r="AA103" i="1" s="1"/>
  <c r="AB103" i="1" s="1"/>
  <c r="AD103" i="1" s="1"/>
  <c r="V103" i="1"/>
  <c r="K19" i="1"/>
  <c r="M20" i="1"/>
  <c r="AA40" i="1"/>
  <c r="AB40" i="1" s="1"/>
  <c r="Z40" i="1"/>
  <c r="X50" i="1"/>
  <c r="M64" i="1"/>
  <c r="AA93" i="1"/>
  <c r="Z93" i="1"/>
  <c r="Y136" i="1"/>
  <c r="U134" i="1"/>
  <c r="V136" i="1"/>
  <c r="U26" i="1"/>
  <c r="Y25" i="1"/>
  <c r="V46" i="1"/>
  <c r="U50" i="1"/>
  <c r="K17" i="1"/>
  <c r="AA34" i="1"/>
  <c r="AB34" i="1" s="1"/>
  <c r="AA37" i="1"/>
  <c r="M40" i="1"/>
  <c r="P40" i="1" s="1"/>
  <c r="M42" i="1"/>
  <c r="P42" i="1" s="1"/>
  <c r="U43" i="1"/>
  <c r="Y46" i="1"/>
  <c r="AA46" i="1" s="1"/>
  <c r="V48" i="1"/>
  <c r="R72" i="1"/>
  <c r="AA57" i="1"/>
  <c r="Y61" i="1"/>
  <c r="Y67" i="1"/>
  <c r="F97" i="1"/>
  <c r="L78" i="1"/>
  <c r="W117" i="1"/>
  <c r="Y107" i="1"/>
  <c r="V107" i="1"/>
  <c r="AA29" i="1"/>
  <c r="M29" i="1"/>
  <c r="O29" i="1" s="1"/>
  <c r="E43" i="1"/>
  <c r="F43" i="1" s="1"/>
  <c r="T50" i="1"/>
  <c r="T72" i="1"/>
  <c r="M86" i="1"/>
  <c r="O86" i="1" s="1"/>
  <c r="M113" i="1"/>
  <c r="O113" i="1" s="1"/>
  <c r="AA113" i="1"/>
  <c r="AB113" i="1" s="1"/>
  <c r="AD113" i="1" s="1"/>
  <c r="M133" i="1"/>
  <c r="AA133" i="1"/>
  <c r="AB133" i="1" s="1"/>
  <c r="AD133" i="1" s="1"/>
  <c r="Z84" i="1"/>
  <c r="Y99" i="1"/>
  <c r="V99" i="1"/>
  <c r="M103" i="1"/>
  <c r="Z112" i="1"/>
  <c r="AA112" i="1"/>
  <c r="AB112" i="1" s="1"/>
  <c r="AD112" i="1" s="1"/>
  <c r="M124" i="1"/>
  <c r="P124" i="1" s="1"/>
  <c r="AA84" i="1"/>
  <c r="M84" i="1"/>
  <c r="V87" i="1"/>
  <c r="Y87" i="1"/>
  <c r="L127" i="1"/>
  <c r="K25" i="1"/>
  <c r="K31" i="1"/>
  <c r="R83" i="1"/>
  <c r="AA90" i="1"/>
  <c r="AB90" i="1" s="1"/>
  <c r="AD90" i="1" s="1"/>
  <c r="Z90" i="1"/>
  <c r="V121" i="1"/>
  <c r="V120" i="1" s="1"/>
  <c r="M128" i="1"/>
  <c r="O128" i="1" s="1"/>
  <c r="M144" i="1"/>
  <c r="P144" i="1" s="1"/>
  <c r="V34" i="1"/>
  <c r="M37" i="1"/>
  <c r="P37" i="1" s="1"/>
  <c r="M48" i="1"/>
  <c r="O48" i="1" s="1"/>
  <c r="Y52" i="1"/>
  <c r="E72" i="1"/>
  <c r="F57" i="1"/>
  <c r="F72" i="1" s="1"/>
  <c r="Y59" i="1"/>
  <c r="V62" i="1"/>
  <c r="AA71" i="1"/>
  <c r="AB71" i="1" s="1"/>
  <c r="M80" i="1"/>
  <c r="O80" i="1" s="1"/>
  <c r="O78" i="1" s="1"/>
  <c r="Y85" i="1"/>
  <c r="T83" i="1"/>
  <c r="V90" i="1"/>
  <c r="Y104" i="1"/>
  <c r="X120" i="1"/>
  <c r="R127" i="1"/>
  <c r="M129" i="1"/>
  <c r="O129" i="1" s="1"/>
  <c r="Z70" i="1"/>
  <c r="Y111" i="1"/>
  <c r="U110" i="1"/>
  <c r="V111" i="1"/>
  <c r="M115" i="1"/>
  <c r="L114" i="1"/>
  <c r="Y138" i="1"/>
  <c r="V138" i="1"/>
  <c r="M132" i="1"/>
  <c r="AA139" i="1"/>
  <c r="AB139" i="1" s="1"/>
  <c r="AE139" i="1" s="1"/>
  <c r="Z139" i="1"/>
  <c r="L134" i="1"/>
  <c r="M143" i="1"/>
  <c r="O143" i="1" s="1"/>
  <c r="M94" i="1"/>
  <c r="O94" i="1" s="1"/>
  <c r="S146" i="1"/>
  <c r="T127" i="1"/>
  <c r="T134" i="1"/>
  <c r="AA135" i="1"/>
  <c r="AA140" i="1"/>
  <c r="AB140" i="1" s="1"/>
  <c r="AE140" i="1" s="1"/>
  <c r="M140" i="1"/>
  <c r="P140" i="1" s="1"/>
  <c r="P134" i="1" s="1"/>
  <c r="V70" i="1"/>
  <c r="E97" i="1"/>
  <c r="U74" i="1"/>
  <c r="V76" i="1"/>
  <c r="U78" i="1"/>
  <c r="V80" i="1"/>
  <c r="V82" i="1"/>
  <c r="V89" i="1"/>
  <c r="V93" i="1"/>
  <c r="V92" i="1" s="1"/>
  <c r="V106" i="1"/>
  <c r="M123" i="1"/>
  <c r="P123" i="1" s="1"/>
  <c r="M125" i="1"/>
  <c r="P125" i="1" s="1"/>
  <c r="V137" i="1"/>
  <c r="V139" i="1"/>
  <c r="V126" i="1"/>
  <c r="L101" i="1"/>
  <c r="F119" i="1"/>
  <c r="W149" i="1" l="1"/>
  <c r="W2" i="1" s="1"/>
  <c r="AD30" i="1"/>
  <c r="AL30" i="1" s="1"/>
  <c r="AJ30" i="1"/>
  <c r="AD11" i="1"/>
  <c r="AL11" i="1" s="1"/>
  <c r="AJ11" i="1"/>
  <c r="AE40" i="1"/>
  <c r="AM40" i="1" s="1"/>
  <c r="AJ40" i="1"/>
  <c r="AE42" i="1"/>
  <c r="AM42" i="1" s="1"/>
  <c r="AJ42" i="1"/>
  <c r="AD64" i="1"/>
  <c r="AL64" i="1" s="1"/>
  <c r="AJ64" i="1"/>
  <c r="AE18" i="1"/>
  <c r="AM18" i="1" s="1"/>
  <c r="AJ18" i="1"/>
  <c r="AA86" i="1"/>
  <c r="AB86" i="1" s="1"/>
  <c r="AD86" i="1" s="1"/>
  <c r="AD32" i="1"/>
  <c r="AL32" i="1" s="1"/>
  <c r="AJ32" i="1"/>
  <c r="AD10" i="1"/>
  <c r="AL10" i="1" s="1"/>
  <c r="AJ10" i="1"/>
  <c r="AD31" i="1"/>
  <c r="AL31" i="1" s="1"/>
  <c r="AJ31" i="1"/>
  <c r="AD48" i="1"/>
  <c r="AL48" i="1" s="1"/>
  <c r="AJ48" i="1"/>
  <c r="AD63" i="1"/>
  <c r="AL63" i="1" s="1"/>
  <c r="AJ63" i="1"/>
  <c r="AD33" i="1"/>
  <c r="AL33" i="1" s="1"/>
  <c r="AJ33" i="1"/>
  <c r="AA66" i="1"/>
  <c r="AB66" i="1" s="1"/>
  <c r="AE38" i="1"/>
  <c r="AM38" i="1" s="1"/>
  <c r="AJ38" i="1"/>
  <c r="AD70" i="1"/>
  <c r="AL70" i="1" s="1"/>
  <c r="AJ70" i="1"/>
  <c r="AD34" i="1"/>
  <c r="AL34" i="1" s="1"/>
  <c r="AJ34" i="1"/>
  <c r="AD12" i="1"/>
  <c r="AL12" i="1" s="1"/>
  <c r="AJ12" i="1"/>
  <c r="AD71" i="1"/>
  <c r="AL71" i="1" s="1"/>
  <c r="AJ71" i="1"/>
  <c r="AD143" i="1"/>
  <c r="AL143" i="1" s="1"/>
  <c r="AJ143" i="1"/>
  <c r="AD145" i="1"/>
  <c r="AL145" i="1" s="1"/>
  <c r="AJ145" i="1"/>
  <c r="Z130" i="1"/>
  <c r="S54" i="1"/>
  <c r="AA81" i="1"/>
  <c r="AB81" i="1" s="1"/>
  <c r="Y83" i="1"/>
  <c r="Z95" i="1"/>
  <c r="M83" i="1"/>
  <c r="X97" i="1"/>
  <c r="AA100" i="1"/>
  <c r="AB100" i="1" s="1"/>
  <c r="Z145" i="1"/>
  <c r="P74" i="1"/>
  <c r="P97" i="1" s="1"/>
  <c r="U97" i="1"/>
  <c r="AA47" i="1"/>
  <c r="AB47" i="1" s="1"/>
  <c r="Q54" i="1"/>
  <c r="AA60" i="1"/>
  <c r="AB60" i="1" s="1"/>
  <c r="AA121" i="1"/>
  <c r="AB121" i="1" s="1"/>
  <c r="AE121" i="1" s="1"/>
  <c r="Y21" i="1"/>
  <c r="L44" i="1"/>
  <c r="X117" i="1"/>
  <c r="AA144" i="1"/>
  <c r="AB144" i="1" s="1"/>
  <c r="O110" i="1"/>
  <c r="AA75" i="1"/>
  <c r="AB75" i="1" s="1"/>
  <c r="AE75" i="1" s="1"/>
  <c r="O50" i="1"/>
  <c r="W54" i="1"/>
  <c r="M105" i="1"/>
  <c r="AA124" i="1"/>
  <c r="AB124" i="1" s="1"/>
  <c r="AE124" i="1" s="1"/>
  <c r="AE82" i="1"/>
  <c r="R22" i="1"/>
  <c r="M110" i="1"/>
  <c r="Y14" i="1"/>
  <c r="AA41" i="1"/>
  <c r="AB41" i="1" s="1"/>
  <c r="R117" i="1"/>
  <c r="T117" i="1"/>
  <c r="U22" i="1"/>
  <c r="Z108" i="1"/>
  <c r="X22" i="1"/>
  <c r="Z143" i="1"/>
  <c r="M134" i="1"/>
  <c r="Z129" i="1"/>
  <c r="XEV129" i="1" s="1"/>
  <c r="V127" i="1"/>
  <c r="R146" i="1"/>
  <c r="Q149" i="1"/>
  <c r="S149" i="1"/>
  <c r="S151" i="1" s="1"/>
  <c r="S153" i="1" s="1"/>
  <c r="S155" i="1" s="1"/>
  <c r="T155" i="1" s="1"/>
  <c r="V74" i="1"/>
  <c r="V114" i="1"/>
  <c r="V43" i="1"/>
  <c r="O132" i="1"/>
  <c r="XEV132" i="1" s="1"/>
  <c r="X146" i="1"/>
  <c r="Z33" i="1"/>
  <c r="U146" i="1"/>
  <c r="T22" i="1"/>
  <c r="L50" i="1"/>
  <c r="AA49" i="1"/>
  <c r="AB49" i="1" s="1"/>
  <c r="AA65" i="1"/>
  <c r="AB65" i="1" s="1"/>
  <c r="O92" i="1"/>
  <c r="V78" i="1"/>
  <c r="O35" i="1"/>
  <c r="O44" i="1" s="1"/>
  <c r="X44" i="1"/>
  <c r="R44" i="1"/>
  <c r="M72" i="1"/>
  <c r="O64" i="1"/>
  <c r="O72" i="1" s="1"/>
  <c r="M114" i="1"/>
  <c r="O115" i="1"/>
  <c r="O114" i="1" s="1"/>
  <c r="M78" i="1"/>
  <c r="L146" i="1"/>
  <c r="O133" i="1"/>
  <c r="XEV133" i="1" s="1"/>
  <c r="AA109" i="1"/>
  <c r="AB109" i="1" s="1"/>
  <c r="P120" i="1"/>
  <c r="P146" i="1" s="1"/>
  <c r="AA19" i="1"/>
  <c r="AB19" i="1" s="1"/>
  <c r="O84" i="1"/>
  <c r="M101" i="1"/>
  <c r="O103" i="1"/>
  <c r="O101" i="1" s="1"/>
  <c r="M21" i="1"/>
  <c r="P20" i="1"/>
  <c r="P21" i="1" s="1"/>
  <c r="P22" i="1" s="1"/>
  <c r="AA122" i="1"/>
  <c r="AB122" i="1" s="1"/>
  <c r="AE122" i="1" s="1"/>
  <c r="AA69" i="1"/>
  <c r="AB69" i="1" s="1"/>
  <c r="T44" i="1"/>
  <c r="T146" i="1"/>
  <c r="V72" i="1"/>
  <c r="Y120" i="1"/>
  <c r="XEV131" i="1"/>
  <c r="Z21" i="1"/>
  <c r="M24" i="1"/>
  <c r="AA24" i="1"/>
  <c r="AB24" i="1" s="1"/>
  <c r="Y127" i="1"/>
  <c r="T97" i="1"/>
  <c r="V83" i="1"/>
  <c r="Z58" i="1"/>
  <c r="Z94" i="1"/>
  <c r="M9" i="1"/>
  <c r="AA9" i="1"/>
  <c r="AB9" i="1" s="1"/>
  <c r="Z68" i="1"/>
  <c r="AA128" i="1"/>
  <c r="AA127" i="1" s="1"/>
  <c r="V14" i="1"/>
  <c r="V105" i="1"/>
  <c r="Z125" i="1"/>
  <c r="AA39" i="1"/>
  <c r="AB39" i="1" s="1"/>
  <c r="M39" i="1"/>
  <c r="P39" i="1" s="1"/>
  <c r="P43" i="1" s="1"/>
  <c r="P44" i="1" s="1"/>
  <c r="L117" i="1"/>
  <c r="AA125" i="1"/>
  <c r="AB125" i="1" s="1"/>
  <c r="AE125" i="1" s="1"/>
  <c r="V134" i="1"/>
  <c r="Z128" i="1"/>
  <c r="Y35" i="1"/>
  <c r="Z116" i="1"/>
  <c r="M120" i="1"/>
  <c r="M92" i="1"/>
  <c r="Z123" i="1"/>
  <c r="Z32" i="1"/>
  <c r="Z79" i="1"/>
  <c r="Z78" i="1" s="1"/>
  <c r="Y78" i="1"/>
  <c r="Y72" i="1"/>
  <c r="AA123" i="1"/>
  <c r="AB123" i="1" s="1"/>
  <c r="AE123" i="1" s="1"/>
  <c r="U117" i="1"/>
  <c r="Y92" i="1"/>
  <c r="AA58" i="1"/>
  <c r="AB58" i="1" s="1"/>
  <c r="M74" i="1"/>
  <c r="AA68" i="1"/>
  <c r="AB68" i="1" s="1"/>
  <c r="AB46" i="1"/>
  <c r="AJ46" i="1" s="1"/>
  <c r="E149" i="1"/>
  <c r="F149" i="1" s="1"/>
  <c r="AA85" i="1"/>
  <c r="AB85" i="1" s="1"/>
  <c r="AD85" i="1" s="1"/>
  <c r="AB84" i="1"/>
  <c r="M35" i="1"/>
  <c r="V50" i="1"/>
  <c r="AA92" i="1"/>
  <c r="AB93" i="1"/>
  <c r="AB92" i="1" s="1"/>
  <c r="Z10" i="1"/>
  <c r="M50" i="1"/>
  <c r="Z77" i="1"/>
  <c r="Z74" i="1" s="1"/>
  <c r="AA77" i="1"/>
  <c r="AB77" i="1" s="1"/>
  <c r="AE77" i="1" s="1"/>
  <c r="Y74" i="1"/>
  <c r="E44" i="1"/>
  <c r="F44" i="1" s="1"/>
  <c r="AA35" i="1"/>
  <c r="AB29" i="1"/>
  <c r="AJ29" i="1" s="1"/>
  <c r="Z115" i="1"/>
  <c r="Y114" i="1"/>
  <c r="L22" i="1"/>
  <c r="AA67" i="1"/>
  <c r="AB67" i="1" s="1"/>
  <c r="AJ67" i="1" s="1"/>
  <c r="Z67" i="1"/>
  <c r="Z103" i="1"/>
  <c r="V110" i="1"/>
  <c r="AA104" i="1"/>
  <c r="AB104" i="1" s="1"/>
  <c r="AD104" i="1" s="1"/>
  <c r="Z104" i="1"/>
  <c r="Z61" i="1"/>
  <c r="AA61" i="1"/>
  <c r="AB61" i="1" s="1"/>
  <c r="Z25" i="1"/>
  <c r="Z26" i="1" s="1"/>
  <c r="Y26" i="1"/>
  <c r="V101" i="1"/>
  <c r="L97" i="1"/>
  <c r="AB135" i="1"/>
  <c r="AE135" i="1" s="1"/>
  <c r="Z99" i="1"/>
  <c r="AA107" i="1"/>
  <c r="Z107" i="1"/>
  <c r="Y105" i="1"/>
  <c r="Z136" i="1"/>
  <c r="Y134" i="1"/>
  <c r="AA136" i="1"/>
  <c r="AB136" i="1" s="1"/>
  <c r="AE136" i="1" s="1"/>
  <c r="Z102" i="1"/>
  <c r="AA102" i="1"/>
  <c r="Y101" i="1"/>
  <c r="R97" i="1"/>
  <c r="Y43" i="1"/>
  <c r="AA114" i="1"/>
  <c r="AB115" i="1"/>
  <c r="AB114" i="1" s="1"/>
  <c r="Z46" i="1"/>
  <c r="Z50" i="1" s="1"/>
  <c r="Y50" i="1"/>
  <c r="Z13" i="1"/>
  <c r="AA59" i="1"/>
  <c r="AB59" i="1" s="1"/>
  <c r="Z59" i="1"/>
  <c r="Z111" i="1"/>
  <c r="Z110" i="1" s="1"/>
  <c r="AA111" i="1"/>
  <c r="Y110" i="1"/>
  <c r="M127" i="1"/>
  <c r="Z87" i="1"/>
  <c r="AA87" i="1"/>
  <c r="AB87" i="1" s="1"/>
  <c r="AD87" i="1" s="1"/>
  <c r="AB57" i="1"/>
  <c r="AA25" i="1"/>
  <c r="Z85" i="1"/>
  <c r="Z42" i="1"/>
  <c r="Z43" i="1" s="1"/>
  <c r="Z64" i="1"/>
  <c r="V35" i="1"/>
  <c r="AB17" i="1"/>
  <c r="AJ17" i="1" s="1"/>
  <c r="AA99" i="1"/>
  <c r="Z138" i="1"/>
  <c r="AA138" i="1"/>
  <c r="AB138" i="1" s="1"/>
  <c r="AE138" i="1" s="1"/>
  <c r="Y53" i="1"/>
  <c r="Z53" i="1" s="1"/>
  <c r="AA52" i="1"/>
  <c r="Z52" i="1"/>
  <c r="AB79" i="1"/>
  <c r="AA78" i="1"/>
  <c r="AB37" i="1"/>
  <c r="AJ37" i="1" s="1"/>
  <c r="V21" i="1"/>
  <c r="E22" i="1"/>
  <c r="Z119" i="1"/>
  <c r="AA119" i="1"/>
  <c r="U44" i="1"/>
  <c r="Z83" i="1" l="1"/>
  <c r="Y146" i="1"/>
  <c r="L149" i="1"/>
  <c r="X149" i="1"/>
  <c r="V97" i="1"/>
  <c r="Y36" i="1"/>
  <c r="AJ35" i="1"/>
  <c r="AA43" i="1"/>
  <c r="AA44" i="1" s="1"/>
  <c r="AD60" i="1"/>
  <c r="AL60" i="1" s="1"/>
  <c r="AJ60" i="1"/>
  <c r="AD49" i="1"/>
  <c r="AL49" i="1" s="1"/>
  <c r="AJ49" i="1"/>
  <c r="AD47" i="1"/>
  <c r="AL47" i="1" s="1"/>
  <c r="AJ47" i="1"/>
  <c r="AD9" i="1"/>
  <c r="AD14" i="1" s="1"/>
  <c r="AD22" i="1" s="1"/>
  <c r="AJ9" i="1"/>
  <c r="AD68" i="1"/>
  <c r="AL68" i="1" s="1"/>
  <c r="AJ68" i="1"/>
  <c r="AE19" i="1"/>
  <c r="AM19" i="1" s="1"/>
  <c r="AJ19" i="1"/>
  <c r="AJ21" i="1" s="1"/>
  <c r="AD114" i="1"/>
  <c r="AL114" i="1" s="1"/>
  <c r="AJ114" i="1"/>
  <c r="AD69" i="1"/>
  <c r="AL69" i="1" s="1"/>
  <c r="AJ69" i="1"/>
  <c r="AD57" i="1"/>
  <c r="AL57" i="1" s="1"/>
  <c r="AJ57" i="1"/>
  <c r="AD61" i="1"/>
  <c r="AL61" i="1" s="1"/>
  <c r="AJ61" i="1"/>
  <c r="AE39" i="1"/>
  <c r="AM39" i="1" s="1"/>
  <c r="AJ39" i="1"/>
  <c r="AE81" i="1"/>
  <c r="AM81" i="1" s="1"/>
  <c r="AJ81" i="1"/>
  <c r="AD65" i="1"/>
  <c r="AL65" i="1" s="1"/>
  <c r="AJ65" i="1"/>
  <c r="AE100" i="1"/>
  <c r="AM100" i="1" s="1"/>
  <c r="AJ100" i="1"/>
  <c r="AC66" i="1"/>
  <c r="AJ66" i="1"/>
  <c r="AD92" i="1"/>
  <c r="AL92" i="1" s="1"/>
  <c r="AJ92" i="1"/>
  <c r="AE41" i="1"/>
  <c r="AM41" i="1" s="1"/>
  <c r="AJ41" i="1"/>
  <c r="AE58" i="1"/>
  <c r="AE72" i="1" s="1"/>
  <c r="AJ58" i="1"/>
  <c r="AD24" i="1"/>
  <c r="AD26" i="1" s="1"/>
  <c r="AJ24" i="1"/>
  <c r="AD109" i="1"/>
  <c r="AL109" i="1" s="1"/>
  <c r="AJ109" i="1"/>
  <c r="AD59" i="1"/>
  <c r="AL59" i="1" s="1"/>
  <c r="AJ59" i="1"/>
  <c r="AE144" i="1"/>
  <c r="AM144" i="1" s="1"/>
  <c r="AJ144" i="1"/>
  <c r="Y97" i="1"/>
  <c r="AH82" i="1"/>
  <c r="AD84" i="1"/>
  <c r="AD83" i="1" s="1"/>
  <c r="AL83" i="1" s="1"/>
  <c r="AB83" i="1"/>
  <c r="AJ83" i="1" s="1"/>
  <c r="Z105" i="1"/>
  <c r="Z92" i="1"/>
  <c r="Z97" i="1" s="1"/>
  <c r="O83" i="1"/>
  <c r="O97" i="1" s="1"/>
  <c r="AA83" i="1"/>
  <c r="V44" i="1"/>
  <c r="AA50" i="1"/>
  <c r="Y51" i="1" s="1"/>
  <c r="V146" i="1"/>
  <c r="AA21" i="1"/>
  <c r="O117" i="1"/>
  <c r="Q151" i="1"/>
  <c r="R151" i="1" s="1"/>
  <c r="R153" i="1" s="1"/>
  <c r="R54" i="1"/>
  <c r="Y22" i="1"/>
  <c r="W151" i="1"/>
  <c r="W153" i="1" s="1"/>
  <c r="W155" i="1" s="1"/>
  <c r="W156" i="1" s="1"/>
  <c r="W159" i="1" s="1"/>
  <c r="Z127" i="1"/>
  <c r="X54" i="1"/>
  <c r="AE74" i="1"/>
  <c r="AE134" i="1"/>
  <c r="AM134" i="1" s="1"/>
  <c r="P149" i="1"/>
  <c r="AE120" i="1"/>
  <c r="AM120" i="1" s="1"/>
  <c r="P54" i="1"/>
  <c r="AB50" i="1"/>
  <c r="AD46" i="1"/>
  <c r="AB43" i="1"/>
  <c r="AE37" i="1"/>
  <c r="AB35" i="1"/>
  <c r="AD29" i="1"/>
  <c r="AB21" i="1"/>
  <c r="AE17" i="1"/>
  <c r="AB78" i="1"/>
  <c r="AJ78" i="1" s="1"/>
  <c r="AD79" i="1"/>
  <c r="AD78" i="1" s="1"/>
  <c r="AL78" i="1" s="1"/>
  <c r="M97" i="1"/>
  <c r="M117" i="1"/>
  <c r="U54" i="1"/>
  <c r="T149" i="1"/>
  <c r="R149" i="1"/>
  <c r="Z120" i="1"/>
  <c r="AG97" i="1"/>
  <c r="AG98" i="1" s="1"/>
  <c r="Y44" i="1"/>
  <c r="Z35" i="1"/>
  <c r="Z44" i="1" s="1"/>
  <c r="M43" i="1"/>
  <c r="M44" i="1" s="1"/>
  <c r="O127" i="1"/>
  <c r="O146" i="1" s="1"/>
  <c r="V117" i="1"/>
  <c r="AA72" i="1"/>
  <c r="L54" i="1"/>
  <c r="S156" i="1"/>
  <c r="S159" i="1" s="1"/>
  <c r="M14" i="1"/>
  <c r="M22" i="1" s="1"/>
  <c r="O9" i="1"/>
  <c r="O14" i="1" s="1"/>
  <c r="O22" i="1" s="1"/>
  <c r="U149" i="1"/>
  <c r="AB120" i="1"/>
  <c r="AJ120" i="1" s="1"/>
  <c r="M26" i="1"/>
  <c r="O24" i="1"/>
  <c r="O26" i="1" s="1"/>
  <c r="T54" i="1"/>
  <c r="Z14" i="1"/>
  <c r="Z22" i="1" s="1"/>
  <c r="Z72" i="1"/>
  <c r="V22" i="1"/>
  <c r="M146" i="1"/>
  <c r="AA120" i="1"/>
  <c r="AB128" i="1"/>
  <c r="Z114" i="1"/>
  <c r="Z134" i="1"/>
  <c r="Y117" i="1"/>
  <c r="Z101" i="1"/>
  <c r="AB107" i="1"/>
  <c r="AA105" i="1"/>
  <c r="AB13" i="1"/>
  <c r="AJ13" i="1" s="1"/>
  <c r="AA14" i="1"/>
  <c r="Y15" i="1" s="1"/>
  <c r="AB25" i="1"/>
  <c r="AJ25" i="1" s="1"/>
  <c r="AA26" i="1"/>
  <c r="Y27" i="1" s="1"/>
  <c r="AA74" i="1"/>
  <c r="AB119" i="1"/>
  <c r="AB74" i="1"/>
  <c r="AJ74" i="1" s="1"/>
  <c r="F22" i="1"/>
  <c r="E54" i="1"/>
  <c r="E151" i="1" s="1"/>
  <c r="AB99" i="1"/>
  <c r="AJ99" i="1" s="1"/>
  <c r="AB72" i="1"/>
  <c r="AA110" i="1"/>
  <c r="AB111" i="1"/>
  <c r="AA53" i="1"/>
  <c r="AB53" i="1" s="1"/>
  <c r="AB52" i="1"/>
  <c r="AB134" i="1"/>
  <c r="AJ134" i="1" s="1"/>
  <c r="AA101" i="1"/>
  <c r="AB102" i="1"/>
  <c r="AA134" i="1"/>
  <c r="AJ50" i="1" l="1"/>
  <c r="AJ26" i="1"/>
  <c r="AA146" i="1"/>
  <c r="AJ43" i="1"/>
  <c r="AJ44" i="1" s="1"/>
  <c r="Y149" i="1"/>
  <c r="Z146" i="1"/>
  <c r="M149" i="1"/>
  <c r="AL72" i="1"/>
  <c r="Y73" i="1"/>
  <c r="Y45" i="1"/>
  <c r="AJ97" i="1"/>
  <c r="AL9" i="1"/>
  <c r="AL14" i="1" s="1"/>
  <c r="AL22" i="1" s="1"/>
  <c r="AC72" i="1"/>
  <c r="AK66" i="1"/>
  <c r="AK72" i="1" s="1"/>
  <c r="V54" i="1"/>
  <c r="AE119" i="1"/>
  <c r="AM119" i="1" s="1"/>
  <c r="AM146" i="1" s="1"/>
  <c r="AJ119" i="1"/>
  <c r="AJ72" i="1"/>
  <c r="AD52" i="1"/>
  <c r="AD53" i="1" s="1"/>
  <c r="AJ52" i="1"/>
  <c r="AJ53" i="1" s="1"/>
  <c r="AD72" i="1"/>
  <c r="AL24" i="1"/>
  <c r="AL26" i="1" s="1"/>
  <c r="AM58" i="1"/>
  <c r="AM72" i="1" s="1"/>
  <c r="AA22" i="1"/>
  <c r="AA54" i="1" s="1"/>
  <c r="AJ14" i="1"/>
  <c r="AJ22" i="1" s="1"/>
  <c r="AI82" i="1"/>
  <c r="AM82" i="1" s="1"/>
  <c r="AL82" i="1"/>
  <c r="AE43" i="1"/>
  <c r="AE44" i="1" s="1"/>
  <c r="AM37" i="1"/>
  <c r="AM43" i="1" s="1"/>
  <c r="AM44" i="1" s="1"/>
  <c r="AD50" i="1"/>
  <c r="AL46" i="1"/>
  <c r="AL50" i="1" s="1"/>
  <c r="AE97" i="1"/>
  <c r="AM74" i="1"/>
  <c r="AE21" i="1"/>
  <c r="AE22" i="1" s="1"/>
  <c r="AM17" i="1"/>
  <c r="AM21" i="1" s="1"/>
  <c r="AM22" i="1" s="1"/>
  <c r="AD35" i="1"/>
  <c r="AD44" i="1" s="1"/>
  <c r="AL29" i="1"/>
  <c r="AL35" i="1" s="1"/>
  <c r="AL44" i="1" s="1"/>
  <c r="AA97" i="1"/>
  <c r="Y54" i="1"/>
  <c r="Q153" i="1"/>
  <c r="Q155" i="1" s="1"/>
  <c r="Q156" i="1" s="1"/>
  <c r="Q159" i="1" s="1"/>
  <c r="O149" i="1"/>
  <c r="AB97" i="1"/>
  <c r="AD97" i="1"/>
  <c r="V149" i="1"/>
  <c r="Z117" i="1"/>
  <c r="X151" i="1"/>
  <c r="X153" i="1" s="1"/>
  <c r="AB44" i="1"/>
  <c r="P151" i="1"/>
  <c r="P153" i="1" s="1"/>
  <c r="P156" i="1" s="1"/>
  <c r="P159" i="1" s="1"/>
  <c r="P160" i="1" s="1"/>
  <c r="T151" i="1"/>
  <c r="T153" i="1" s="1"/>
  <c r="T156" i="1" s="1"/>
  <c r="T159" i="1" s="1"/>
  <c r="AB26" i="1"/>
  <c r="AE25" i="1"/>
  <c r="AB127" i="1"/>
  <c r="AB146" i="1" s="1"/>
  <c r="AD128" i="1"/>
  <c r="AD127" i="1" s="1"/>
  <c r="AB14" i="1"/>
  <c r="AB22" i="1" s="1"/>
  <c r="AC13" i="1"/>
  <c r="AB110" i="1"/>
  <c r="AJ110" i="1" s="1"/>
  <c r="AD111" i="1"/>
  <c r="AD110" i="1" s="1"/>
  <c r="AL110" i="1" s="1"/>
  <c r="O54" i="1"/>
  <c r="U151" i="1"/>
  <c r="U153" i="1" s="1"/>
  <c r="AB101" i="1"/>
  <c r="AJ101" i="1" s="1"/>
  <c r="AD102" i="1"/>
  <c r="AD101" i="1" s="1"/>
  <c r="AL101" i="1" s="1"/>
  <c r="AE99" i="1"/>
  <c r="AB105" i="1"/>
  <c r="AD107" i="1"/>
  <c r="Z54" i="1"/>
  <c r="AH97" i="1"/>
  <c r="AH98" i="1" s="1"/>
  <c r="L151" i="1"/>
  <c r="L153" i="1" s="1"/>
  <c r="L155" i="1" s="1"/>
  <c r="M54" i="1"/>
  <c r="AA117" i="1"/>
  <c r="Y118" i="1" s="1"/>
  <c r="F54" i="1"/>
  <c r="E152" i="1"/>
  <c r="F152" i="1" s="1"/>
  <c r="F151" i="1"/>
  <c r="X155" i="1"/>
  <c r="Y55" i="1" l="1"/>
  <c r="O151" i="1"/>
  <c r="O153" i="1" s="1"/>
  <c r="O156" i="1" s="1"/>
  <c r="O159" i="1" s="1"/>
  <c r="O160" i="1" s="1"/>
  <c r="AA149" i="1"/>
  <c r="Z149" i="1"/>
  <c r="Y23" i="1"/>
  <c r="Y98" i="1"/>
  <c r="U159" i="1"/>
  <c r="U160" i="1"/>
  <c r="AB54" i="1"/>
  <c r="AJ117" i="1"/>
  <c r="V151" i="1"/>
  <c r="V153" i="1" s="1"/>
  <c r="AD54" i="1"/>
  <c r="AE146" i="1"/>
  <c r="AL52" i="1"/>
  <c r="AL53" i="1" s="1"/>
  <c r="AL54" i="1" s="1"/>
  <c r="U155" i="1"/>
  <c r="V155" i="1" s="1"/>
  <c r="AJ54" i="1"/>
  <c r="AJ127" i="1"/>
  <c r="AJ146" i="1" s="1"/>
  <c r="AE117" i="1"/>
  <c r="AM99" i="1"/>
  <c r="AE26" i="1"/>
  <c r="AE54" i="1" s="1"/>
  <c r="AM25" i="1"/>
  <c r="AM26" i="1" s="1"/>
  <c r="AM54" i="1" s="1"/>
  <c r="AC14" i="1"/>
  <c r="AC22" i="1" s="1"/>
  <c r="AC54" i="1" s="1"/>
  <c r="AK13" i="1"/>
  <c r="AK14" i="1" s="1"/>
  <c r="AK22" i="1" s="1"/>
  <c r="AK54" i="1" s="1"/>
  <c r="AD146" i="1"/>
  <c r="AL127" i="1"/>
  <c r="AL146" i="1" s="1"/>
  <c r="R155" i="1"/>
  <c r="R156" i="1" s="1"/>
  <c r="R159" i="1" s="1"/>
  <c r="XEV128" i="1"/>
  <c r="X156" i="1"/>
  <c r="X159" i="1" s="1"/>
  <c r="Y151" i="1"/>
  <c r="Y153" i="1" s="1"/>
  <c r="Y155" i="1" s="1"/>
  <c r="Z155" i="1" s="1"/>
  <c r="M151" i="1"/>
  <c r="M153" i="1" s="1"/>
  <c r="M155" i="1" s="1"/>
  <c r="M156" i="1" s="1"/>
  <c r="M159" i="1" s="1"/>
  <c r="AB117" i="1"/>
  <c r="AB149" i="1" s="1"/>
  <c r="AF117" i="1"/>
  <c r="AC117" i="1"/>
  <c r="AC149" i="1" s="1"/>
  <c r="AI97" i="1"/>
  <c r="AI98" i="1" s="1"/>
  <c r="AA151" i="1"/>
  <c r="AA153" i="1" s="1"/>
  <c r="L156" i="1"/>
  <c r="E153" i="1"/>
  <c r="AJ149" i="1" l="1"/>
  <c r="AJ150" i="1" s="1"/>
  <c r="V156" i="1"/>
  <c r="AE149" i="1"/>
  <c r="AF149" i="1"/>
  <c r="AF118" i="1"/>
  <c r="AE151" i="1"/>
  <c r="AE153" i="1" s="1"/>
  <c r="AE155" i="1" s="1"/>
  <c r="AE156" i="1" s="1"/>
  <c r="AE159" i="1" s="1"/>
  <c r="AE160" i="1" s="1"/>
  <c r="AJ151" i="1"/>
  <c r="V159" i="1"/>
  <c r="U156" i="1"/>
  <c r="AC151" i="1"/>
  <c r="AC153" i="1" s="1"/>
  <c r="AB151" i="1"/>
  <c r="AB153" i="1" s="1"/>
  <c r="Z151" i="1"/>
  <c r="Z153" i="1" s="1"/>
  <c r="Z156" i="1" s="1"/>
  <c r="Z159" i="1" s="1"/>
  <c r="AD117" i="1"/>
  <c r="AD149" i="1" s="1"/>
  <c r="Y156" i="1"/>
  <c r="AK97" i="1"/>
  <c r="F153" i="1"/>
  <c r="E155" i="1"/>
  <c r="F155" i="1" s="1"/>
  <c r="L159" i="1"/>
  <c r="AA155" i="1"/>
  <c r="AF151" i="1" l="1"/>
  <c r="AF153" i="1" s="1"/>
  <c r="AF155" i="1" s="1"/>
  <c r="AF150" i="1"/>
  <c r="Y159" i="1"/>
  <c r="AJ153" i="1"/>
  <c r="AD151" i="1"/>
  <c r="AD153" i="1" s="1"/>
  <c r="AA157" i="1"/>
  <c r="AB157" i="1" s="1"/>
  <c r="AG117" i="1"/>
  <c r="AL97" i="1"/>
  <c r="AB155" i="1"/>
  <c r="AB156" i="1" s="1"/>
  <c r="AA156" i="1"/>
  <c r="AA159" i="1" s="1"/>
  <c r="E156" i="1"/>
  <c r="AF154" i="1" l="1"/>
  <c r="AJ155" i="1"/>
  <c r="AJ156" i="1" s="1"/>
  <c r="AJ159" i="1" s="1"/>
  <c r="AJ160" i="1" s="1"/>
  <c r="AJ154" i="1"/>
  <c r="AF156" i="1"/>
  <c r="AF159" i="1" s="1"/>
  <c r="AF160" i="1" s="1"/>
  <c r="AG155" i="1"/>
  <c r="Y157" i="1"/>
  <c r="AG149" i="1"/>
  <c r="AG118" i="1"/>
  <c r="AD156" i="1"/>
  <c r="AD159" i="1" s="1"/>
  <c r="AD160" i="1" s="1"/>
  <c r="AC155" i="1"/>
  <c r="AC156" i="1" s="1"/>
  <c r="AC159" i="1" s="1"/>
  <c r="AC160" i="1" s="1"/>
  <c r="AB159" i="1"/>
  <c r="AB160" i="1" s="1"/>
  <c r="AH117" i="1"/>
  <c r="AM97" i="1"/>
  <c r="F156" i="1"/>
  <c r="E159" i="1"/>
  <c r="F159" i="1" s="1"/>
  <c r="AG151" i="1" l="1"/>
  <c r="AG153" i="1" s="1"/>
  <c r="AG154" i="1" s="1"/>
  <c r="AG150" i="1"/>
  <c r="AJ157" i="1"/>
  <c r="AH149" i="1"/>
  <c r="AH118" i="1"/>
  <c r="AI117" i="1"/>
  <c r="G156" i="1"/>
  <c r="G117" i="1"/>
  <c r="G146" i="1"/>
  <c r="G26" i="1"/>
  <c r="G97" i="1"/>
  <c r="G50" i="1"/>
  <c r="G72" i="1"/>
  <c r="G21" i="1"/>
  <c r="G43" i="1"/>
  <c r="G35" i="1"/>
  <c r="G14" i="1"/>
  <c r="G149" i="1"/>
  <c r="G44" i="1"/>
  <c r="G22" i="1"/>
  <c r="G151" i="1"/>
  <c r="G54" i="1"/>
  <c r="G155" i="1"/>
  <c r="G153" i="1"/>
  <c r="AH151" i="1" l="1"/>
  <c r="AH153" i="1" s="1"/>
  <c r="AH154" i="1" s="1"/>
  <c r="AH150" i="1"/>
  <c r="AI149" i="1"/>
  <c r="AI118" i="1"/>
  <c r="AG156" i="1"/>
  <c r="AG159" i="1" s="1"/>
  <c r="AG160" i="1" s="1"/>
  <c r="AK117" i="1"/>
  <c r="AK149" i="1" s="1"/>
  <c r="AK150" i="1" s="1"/>
  <c r="AI151" i="1" l="1"/>
  <c r="AI153" i="1" s="1"/>
  <c r="AI150" i="1"/>
  <c r="AH156" i="1"/>
  <c r="AH159" i="1" s="1"/>
  <c r="AH160" i="1" s="1"/>
  <c r="AI156" i="1"/>
  <c r="AI159" i="1" s="1"/>
  <c r="AI160" i="1" s="1"/>
  <c r="AI154" i="1"/>
  <c r="AK151" i="1"/>
  <c r="AK153" i="1" s="1"/>
  <c r="AK154" i="1" s="1"/>
  <c r="AM117" i="1"/>
  <c r="AL117" i="1"/>
  <c r="AL149" i="1" s="1"/>
  <c r="AL150" i="1" l="1"/>
  <c r="AM149" i="1"/>
  <c r="AL151" i="1"/>
  <c r="AM150" i="1" l="1"/>
  <c r="AM151" i="1"/>
  <c r="AM153" i="1" s="1"/>
  <c r="AL153" i="1"/>
  <c r="AK155" i="1" l="1"/>
  <c r="AL155" i="1" s="1"/>
  <c r="AL156" i="1" s="1"/>
  <c r="AL159" i="1" s="1"/>
  <c r="AL160" i="1" s="1"/>
  <c r="AL154" i="1"/>
  <c r="AM155" i="1"/>
  <c r="AM156" i="1" s="1"/>
  <c r="AM159" i="1" s="1"/>
  <c r="AM160" i="1" s="1"/>
  <c r="AM154" i="1"/>
  <c r="AK156" i="1"/>
  <c r="AK159" i="1" s="1"/>
  <c r="AK16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tc={4747CCB1-1641-4F6C-B467-28A511D4140E}</author>
  </authors>
  <commentList>
    <comment ref="AG155" authorId="0" shapeId="0" xr:uid="{4747CCB1-1641-4F6C-B467-28A511D4140E}">
      <text>
        <t xml:space="preserve">[Threaded comment]
Your version of Excel allows you to read this threaded comment; however, any edits to it will get removed if the file is opened in a newer version of Excel. Learn more: https://go.microsoft.com/fwlink/?linkid=870924
Comment:
    Dans le budget approuvé, les coûts indirects totaux de 7 % ont été attribués uniquement au NIMD. Bien entendu, nous verserons ces 7 % conformément aux règles convenues.
</t>
      </text>
    </comment>
  </commentList>
</comments>
</file>

<file path=xl/sharedStrings.xml><?xml version="1.0" encoding="utf-8"?>
<sst xmlns="http://schemas.openxmlformats.org/spreadsheetml/2006/main" count="385" uniqueCount="197">
  <si>
    <t>Projet PRLFP Renforcement du leadership des femmes en politique dans les communes du Bénin: RAPPORT FINANCIER 2024</t>
  </si>
  <si>
    <t>Depenses cumulatives jusqu"à 31.12.2024</t>
  </si>
  <si>
    <t xml:space="preserve"> </t>
  </si>
  <si>
    <t>BUDGET GLOBAL PRLFP</t>
  </si>
  <si>
    <t>1. Budget de l’action</t>
  </si>
  <si>
    <t>01.11.2021-30.06.2025 (42 mois)</t>
  </si>
  <si>
    <t>01.11.2021-31.12.2026 (62 mois)</t>
  </si>
  <si>
    <t>Dépenses approuvées 2022</t>
  </si>
  <si>
    <t>Dépenses approuvées 2023</t>
  </si>
  <si>
    <t>Cumul des dépenses 2022 + 2023</t>
  </si>
  <si>
    <t>Dépenses cumulées à fin 2024</t>
  </si>
  <si>
    <t>Solde Budget  global au 31.12.2024</t>
  </si>
  <si>
    <t>Coûts</t>
  </si>
  <si>
    <t>Unité</t>
  </si>
  <si>
    <t>Nº d'unités</t>
  </si>
  <si>
    <t>Valeur unitaire              (en EUR)</t>
  </si>
  <si>
    <t>Coût total                (en EUR)</t>
  </si>
  <si>
    <t>Coût total                (en FCFA)</t>
  </si>
  <si>
    <t>%</t>
  </si>
  <si>
    <t>Valeur unitaire              (en FCFA)</t>
  </si>
  <si>
    <t>Valeur unitaire (en Euro)</t>
  </si>
  <si>
    <t>Coût total (en FCFA)</t>
  </si>
  <si>
    <t>Coût total  (en EUR)</t>
  </si>
  <si>
    <t>FCFA</t>
  </si>
  <si>
    <t>Euro</t>
  </si>
  <si>
    <t>1. Ressources humaines</t>
  </si>
  <si>
    <t>NIMD/IGD</t>
  </si>
  <si>
    <t>1.1 Salaires (montants bruts incluant les charges de sécurité sociale et les autres coûts liés, personnel local)</t>
  </si>
  <si>
    <t xml:space="preserve">   1.1.1 Coordonnateur du projet 50%</t>
  </si>
  <si>
    <t>Par mois</t>
  </si>
  <si>
    <t xml:space="preserve">   1.1.2 Chargé de projet 100%</t>
  </si>
  <si>
    <t xml:space="preserve">   1.1.3 Comptable projet 50%</t>
  </si>
  <si>
    <t xml:space="preserve">   1.1.4 Responsable suivi-évaluation du projet 20%</t>
  </si>
  <si>
    <t xml:space="preserve">   1.2.1 Responsable de programme/Assurance qualité siège 25%</t>
  </si>
  <si>
    <t>Par jour</t>
  </si>
  <si>
    <t>Total NIMD/IGD</t>
  </si>
  <si>
    <t>CARE</t>
  </si>
  <si>
    <t>1.4 Salaires (montants bruts incluant les charges de sécurité sociale et les autres coûts liés, personnel local)</t>
  </si>
  <si>
    <t xml:space="preserve">   1.4.1 Directeur Pays/Assurance qualité 15%</t>
  </si>
  <si>
    <t xml:space="preserve">   1.4.2 Chargé de projet 100%</t>
  </si>
  <si>
    <t xml:space="preserve">   1.4.3 Comptable projet 25%</t>
  </si>
  <si>
    <t xml:space="preserve">   1.4.4 Responsable suivi-évaluation du projet 20%</t>
  </si>
  <si>
    <t>Total CARE</t>
  </si>
  <si>
    <t>Sous-total Ressources humaines</t>
  </si>
  <si>
    <t>2.Location de véhicules</t>
  </si>
  <si>
    <t>2.1 IGD</t>
  </si>
  <si>
    <t>2.2. CARE</t>
  </si>
  <si>
    <t>Sous-total Location de véhicules</t>
  </si>
  <si>
    <t>3. Fournitures</t>
  </si>
  <si>
    <t>IGD</t>
  </si>
  <si>
    <t>3.1 Matériel informatique (Ordinateurs Coord, Chargé Projet, Comptable, Responsable suivi évaluation)</t>
  </si>
  <si>
    <t>Par personne</t>
  </si>
  <si>
    <t>3.2 Matériel informatique (Imprimantes)</t>
  </si>
  <si>
    <t>Par structure</t>
  </si>
  <si>
    <t>3.3 Consommables - fournitures de bureau 50%</t>
  </si>
  <si>
    <t>3.4 Location de bureaux 50%</t>
  </si>
  <si>
    <t>3.5 Autres services (tél./fax, électricité/chauffage, maintenance) 50%</t>
  </si>
  <si>
    <t>3.6 Contribution office maintenance</t>
  </si>
  <si>
    <t>Total IGD</t>
  </si>
  <si>
    <t>3.7 Matériel informatique (Chargé Projet, Comptable)</t>
  </si>
  <si>
    <t>3.8 Matériel informatique (Imprimantes)</t>
  </si>
  <si>
    <t>3.9 Consommables - fournitures de bureau 50%</t>
  </si>
  <si>
    <t>3.10 Location de bureaux 50%</t>
  </si>
  <si>
    <t>3.11 Autres services (tél./fax, électricité/chauffage, maintenance) 50%</t>
  </si>
  <si>
    <t>3.12 Contribution office maintenance</t>
  </si>
  <si>
    <t>Sous-total  Fournitures</t>
  </si>
  <si>
    <t>4. Autres coûts, services</t>
  </si>
  <si>
    <t xml:space="preserve">  </t>
  </si>
  <si>
    <t>4.1 Coûts d'audit/vérification des dépenses</t>
  </si>
  <si>
    <t>Par audit</t>
  </si>
  <si>
    <t>4.2 Coûts d'assurances couverture projet</t>
  </si>
  <si>
    <t xml:space="preserve">Par an </t>
  </si>
  <si>
    <t>4.3 Services financiers (coûts de garantie bancaire, etc.)</t>
  </si>
  <si>
    <t>4.4 Actions de visibilité</t>
  </si>
  <si>
    <t>Par an</t>
  </si>
  <si>
    <t>Sous-total Autres coûts, services</t>
  </si>
  <si>
    <t>5.1 Equipement support activités</t>
  </si>
  <si>
    <t>5.1.1 Photocopieur</t>
  </si>
  <si>
    <t>Par équipement</t>
  </si>
  <si>
    <t>Sous-total Equipement support activités</t>
  </si>
  <si>
    <t>Total Fonctionnement</t>
  </si>
  <si>
    <t>A.0 Activités transversales</t>
  </si>
  <si>
    <t>A.0.1.1 Atelier de lancement et de présentation du projet</t>
  </si>
  <si>
    <t>Par atelier</t>
  </si>
  <si>
    <t>A.0.2.1 Atelier d’appropriation des acteurs de mise en œuvre sur les outils/approches ainsi que les procédures à utiliser dans le cadre du projet</t>
  </si>
  <si>
    <t xml:space="preserve">A.0.2.2 Atelier d’appropriation de la mise à jour du PRLFP </t>
  </si>
  <si>
    <t>A.0.3.1 Etude de référence</t>
  </si>
  <si>
    <t>Par étude</t>
  </si>
  <si>
    <t>A.0.3.2 Mise à jour des indicateurs de référence du projet</t>
  </si>
  <si>
    <t>Par activité</t>
  </si>
  <si>
    <t>A.0.4 Activités de suivi du projet ( Mise en place du Comité de suivi du projet et ateliers de planification et de revue semestrielles et annuelles ):</t>
  </si>
  <si>
    <t xml:space="preserve">A.0.4.1 Atelier de planification annuelle du projet </t>
  </si>
  <si>
    <t>A.0.4.2 Organisation de la réunion annuelle  du comité de pilotage</t>
  </si>
  <si>
    <t xml:space="preserve">A.0.4.3 Atelier de revue semestrielle du projet </t>
  </si>
  <si>
    <t>A.0.5 Mission de Suivi et de coordination des activités par NIMD et mission CARE or IGD staff dans le cadre de partenariat et training</t>
  </si>
  <si>
    <t>Par mission</t>
  </si>
  <si>
    <t>A.0.6 Activités d'évaluation et de capitalisation:</t>
  </si>
  <si>
    <t>A.0.6.1 Evaluation externe 1 (Evaluation à mi-parcours du projet)</t>
  </si>
  <si>
    <t>A.0.6.2 Evaluation externe 2 (Evaluation finale  du projet)</t>
  </si>
  <si>
    <t>A.0.6.3 Capitalisation et gestion du savoir (y compris la communication et la visibilité)</t>
  </si>
  <si>
    <t>A.0.7  Actions de visibilité ( Supports de visibilité sur le projet (Kakemono ; dépliants ; Flyers ; T-shirt, casquettes, etc..)</t>
  </si>
  <si>
    <t>Sous-total Activités transversales</t>
  </si>
  <si>
    <t>Résultat 1 : Les femmes Maires, élues conseillères et députés réussissent leur mandat et ont été reconduites aux prochaines élections générales</t>
  </si>
  <si>
    <t>A.1.1  Renforcement des capacités des femmes élues communales pour une mise en œuvre réussie de leurs missions et rôles (en fonction des besoins spécifiques)</t>
  </si>
  <si>
    <t>Replanification consommations antérieures</t>
  </si>
  <si>
    <t xml:space="preserve">A.1.1.1 Formation des élues restants sur le code de l’administration territoriale </t>
  </si>
  <si>
    <t xml:space="preserve">A.1.1.2 Organisation d’une visite d’échanges d’expériences entre femmes Maires et ou élues locales du Bénin et de la sous-région (Sénégal, etc.) </t>
  </si>
  <si>
    <t xml:space="preserve">A.1.2 Orientation des femmes élues Maires, Adjointes au Maires et Cheffe d'Arrondissement (CA) sur les outils de reddition des comptes (évaluation de la qualité des services publics) et appui dans la réalisation de quelques séances de reddition des comptes dans leurs localités </t>
  </si>
  <si>
    <t>A.1.2.1 Suivi post formation et appui du consultant aux élues conseillères (Maires, Adjointes aux Maires et CA) dans l'organisation des séances de reddition des comptes ou d'interactions avec les citoyens</t>
  </si>
  <si>
    <t>A.1.3 Formation des responsables des partis politiques au niveau national et des représentants de leurs coordinations au niveau communal et départemental sur le genre, l’inclusion et la gouvernance  (5responsables nationaux/départementaux*15partis politiques*2sessions)</t>
  </si>
  <si>
    <t>A.1.4  Organisation de dialogues réflectifs avec les leaders politiques (Commission parlementaire de loi, Responsables des partis politiques, etc.…) pour un bon positionnement des femmes candidates dans la perspective des prochaines élections communales(1dialogue*2sem*2ans)</t>
  </si>
  <si>
    <t>A.1.5 Initiatives Jeunes Assistant.e.s de Députées</t>
  </si>
  <si>
    <t xml:space="preserve">A.1.5.1 Sélection des jeunes Assistant.e.s  et organisation de séance d'échanges et d'orientation </t>
  </si>
  <si>
    <t>A.1.5.2 Acquisition de matériel informatique au profit des Assistant.e.s</t>
  </si>
  <si>
    <t>A.1.5.3 Renforcement de capacités des jeunes Assistant.e.s</t>
  </si>
  <si>
    <t>A.1.5.4 Elaboration du guide de l'assistant-e du député et de son cahier de charge.</t>
  </si>
  <si>
    <t>A.1.5.5 Mise en œuvre de l'initiative (Appui aux femmes députées par les jeunes Assistant.e.s)</t>
  </si>
  <si>
    <t xml:space="preserve">A.1.5.6 Evaluation de l'initiative à mi-parcours </t>
  </si>
  <si>
    <t>A.1.5.7 Mission de Supervision et de suivi des Assistant.e.s</t>
  </si>
  <si>
    <t>A.1.6 Renforcement de la visibilité des femmes élues par la mise en place et l’exécution d’un plan d’actions de communication et visibilité  avec des actions innovantes</t>
  </si>
  <si>
    <t>A.1.6.1 Renforcement de capacités des femmes élues conseillères en e-réputation, communication digitale sur (l’actualité de l’élue membre de l’exécutif communal, etc.) et assistance pour création page facebook</t>
  </si>
  <si>
    <t>A.1.6.2 Mise en place d’une fenêtre de visibilité des femmes élues Maires et conseillères sur la plateforme des partis politiques créée par NIMD (www.portailpartispolitiques.bj)</t>
  </si>
  <si>
    <t>A.1.6 Elaboration d’un agenda de plaidoyer et d’apprentissage pour renforcer le leadership politique des femmes élues et les futures élues avec entre autres les actions :</t>
  </si>
  <si>
    <t>Sous-total Résultat 1</t>
  </si>
  <si>
    <t xml:space="preserve">Résultat 2 : La présence des femmes aux postes d’influences au niveau local a augmenté grâce à l’engagement des Partis Politiques pour la promotion du leadership des femmes </t>
  </si>
  <si>
    <t xml:space="preserve">A.2.1 Recrutement d’une pépinière de 180 femmes de toutes catégories socio-professionnels influentes et jeunes femmes aspirantes à la vie politique </t>
  </si>
  <si>
    <t xml:space="preserve">A.2.2 Sessions de réflexions sur les parcours de leadership et de bilan portfolio des femmes sélectionnées </t>
  </si>
  <si>
    <t xml:space="preserve">A.2.3 Pogramme de coaching et de mentorat au profit de nouvelles femmes leaders influentes et les jeunes activistes aspirantes pour renforcer leur confiance en soi, et améliorer leur militantisme au sein des partis politiques </t>
  </si>
  <si>
    <t xml:space="preserve">A.2.3.1 Identification/sélection de 53 coach-e-s </t>
  </si>
  <si>
    <t xml:space="preserve">A.2.3.2 Organisation d’une session de renforcement de capacités des coach-e-s sur les techniques de coaching </t>
  </si>
  <si>
    <t>A.2.3.3 Soutien à l’organisation des séances individuelles et collectives de coaching et de suivi des plans de développement  personnel des filleules</t>
  </si>
  <si>
    <t xml:space="preserve">A.2.4 Organisation d'un plaidoyer en vue d'une proposition de loi pour la discrimination positive à l'égard des femmes sur les listes de candidature aux élections municipales et communales  </t>
  </si>
  <si>
    <t xml:space="preserve">A.2.4.1 Fournir une assistance techinque spécialisée dans la conduite d'une trajectoire de plaidoyer-Lobbying. </t>
  </si>
  <si>
    <t xml:space="preserve">A.2.4.2 Mobiliser autour des enjeux de l’object du plaidoyer les réseaux de femmes élues (Réseau des Femmes, Elues Communales (REFEC), Union des Femmes Elues Communales (UFEC), Réseaux des participantes aux programmes de leadership (FENEP…) et les Organisations féminines de défense des droits des femmes </t>
  </si>
  <si>
    <t xml:space="preserve">A.2.4.3 Elaborer un agenda de plaidoyer participatif avec les organisations concernées et les acteurs des programmes similaires au Bénin  </t>
  </si>
  <si>
    <t>A.2.5 Appui aux intiatives du Caucus des femmes parlementaires du Bénin au profit du leadership politique féminin</t>
  </si>
  <si>
    <t xml:space="preserve">A.2.6 Accompagner les Partis Politiques à adopter et mettre en œuvre des mesures, stratégies et approches visant à promouvoir la présence, l’influence et l’accession des femmes à des responsabilités au sein de leur Parti Politique et dans les instances de décision </t>
  </si>
  <si>
    <t>A.2.6.1 Formation des formateurs de  l’équipe de projet sur l’outil GRIPP de NIMD</t>
  </si>
  <si>
    <t xml:space="preserve">A.2.6.2 Identification et renforcement  des femmes et hommes Points Focaux Genre-Diversité-Inclusion </t>
  </si>
  <si>
    <t xml:space="preserve">A.2.6.3 Organisation des rencontres de suivi annuel et de co-apprentissage avec les points focaux Genre des partis politiques : </t>
  </si>
  <si>
    <t xml:space="preserve">A.2.7 Appui à la prise en compte du genre dans le fonctionnement des écoles des partis politiques  (mise en place d’un Plan d’action Genre Equité et Diversité pour les partis politiques et accompagnement des membres des bureaux des partis pour l’atteinte des résultats </t>
  </si>
  <si>
    <t>A.2.7.1 Réalisation de l'état des lieux de la prise en compte du genre au sein des écoles de parti</t>
  </si>
  <si>
    <t xml:space="preserve">A.2.7.2 Facilitation de la réalisation par les partis politiques des analyses Genre au sein de leur organisation et élaboration d'un plan d’action par parti politique en faveur de l’égalité des sexes </t>
  </si>
  <si>
    <t>Sous-total Résultat 2</t>
  </si>
  <si>
    <t>Résultat 3 : Les communes disposent à la fin du projet de femmes renforcées en leadership politique, dynamiques,  militantes dans les partis politiques et capables de faire évoluer les carrières politiques ou de devenir des dirigeantes performantes dans un environnement sans discriminations ni violences</t>
  </si>
  <si>
    <t xml:space="preserve">A.3.1 Rencontres d’échanges et appuis du projet à la redynamisation des anciens réseaux départementaux des jeunes filles et femmes leaders formés par d’autres programmes (RECAFEM, JLB, YALI, NIMD, etc.) élargi aux nouvelles femmes leaders influentes et jeunes activistes aspirantes à la fonction politique. </t>
  </si>
  <si>
    <t xml:space="preserve"> A.3.2 Faciliter la mise en place d’une plateforme d’échanges et d’apprentissage entre les jeunes femmes leaders aspirant à la fonction politique issues des divers programmes de leadership féminin.</t>
  </si>
  <si>
    <t xml:space="preserve">A.3.2.1 Organiser une rencontre de réflexion sur la mise en place du cadre d’échanges entre les femmes renforcées aspirantes à la fonction politique issues des programmes leadership de CARE-IGD/NIMD </t>
  </si>
  <si>
    <t xml:space="preserve">A.3.2.2 Conduire une analyse sur les besoins en renforcement des anciennes promotions des programmes de leadership </t>
  </si>
  <si>
    <t>A.3.2.3 Appuyer le développement des différents instruments de fonctionnement de ce cadre (objectifs, types de plateformes, règles, la gouvernance, la configuration numérique…)</t>
  </si>
  <si>
    <t xml:space="preserve">A.3.2.4 Organisation des rencontres virtuelles trimestrielles de partage, d’apprentissage et de panel de discussion </t>
  </si>
  <si>
    <t xml:space="preserve">A.3.2.5 Appui à l’organisation d’un leadership camp  </t>
  </si>
  <si>
    <t>A.3.3 Appui à la prise en compte du genre dans le fonctionnement des écoles des partis politiques : mise en place d’un Plan d’action Genre Equité et Diversité pour les partis politiques et orientation et coaching régulier des membres des bureaux des partis(1appui*15écoles*4semestres)</t>
  </si>
  <si>
    <t>A3.4 : Ecole politique des femmes leaders : sélection dans toutes les communes des femmes militantes des partis ou femmes leaders devant suivre des sessions de formations pour le renforcement de leurs capacités et de leur leadership dans le militantisme politique</t>
  </si>
  <si>
    <t>A.3.4.1 Sélection des bénéficiaires des écoles</t>
  </si>
  <si>
    <t>A.3.4.2 Organisation des sessions de formation et des cafés politiques inter-sessions</t>
  </si>
  <si>
    <t xml:space="preserve">A.3.4.3 Dialogue et médiation avec les conjoints pour la masculinité positive en faveur du leadership des femmes en politique  </t>
  </si>
  <si>
    <t>A.3.4.4 Organisation des  cafés politiques ouverts</t>
  </si>
  <si>
    <t xml:space="preserve">A.3.4.5 Organisation de la visite des institutions </t>
  </si>
  <si>
    <t>A.3.4.6 Organisation de la cérémonie de sortie des bénéficiares</t>
  </si>
  <si>
    <t xml:space="preserve">A.3.5 Catalyst Initiative pour le développement d’une pépinière de femmes leaders ou influentes et des jeunes activistes aspirantes à la fonction politique </t>
  </si>
  <si>
    <t xml:space="preserve">A.3.5.1 Lancement de l'appel à participation: </t>
  </si>
  <si>
    <t xml:space="preserve">A.3.5.2 Etude des dossiers, entretien et sélection des bénéficiaires </t>
  </si>
  <si>
    <t>A.3.5.3 Sessions de réflexions sur les parcours de leadership des femmes sélectionnées</t>
  </si>
  <si>
    <t>A.3.5.4 Identification et formation des coachs</t>
  </si>
  <si>
    <t>A.3.5.5 Organisation des séances individuelles de coaching des femmes recrutées pour renforcer leur confiance en soi, et améliorer leur militantisme au sein des partis politiques.</t>
  </si>
  <si>
    <t xml:space="preserve">A.3.5.6 ancien A.2.3 Pogramme de coaching et de mentorat au profit de nouvelles femmes leaders influentes et les jeunes activistes aspirantes pour renforcer leur confiance en soi, et améliorer leur militantisme au sein des partis politiques </t>
  </si>
  <si>
    <t>A3.6: Renforcement de capacités des femmes élues conseillères, des femmes alumnis de l’école politique féminine multipartite, de l'école de la démocratie et des membres de la pépinière candidates aux élections de Janvier 2026</t>
  </si>
  <si>
    <t xml:space="preserve">A.3.7 Communication pour un Changement de Comportement (CCC) visant la déconstruction des normes sociales de genre qui entravent le positionnement et l’émergence des femmes en politique </t>
  </si>
  <si>
    <t>A.3.8 Appui à l'Institut National de la Femme</t>
  </si>
  <si>
    <t>Sous-total Résultat 3</t>
  </si>
  <si>
    <t>Sous-total Activités</t>
  </si>
  <si>
    <t>7.  Sous-total des coûts directs éligibles de l'action (1 à 6)</t>
  </si>
  <si>
    <t xml:space="preserve">8. Provision pour imprévus (maximum 5 % de la ligne 7 Sous-total des coûts directs éligibles de l’action </t>
  </si>
  <si>
    <t xml:space="preserve">9. Total des coûts directs éligibles de l'action (7+8) </t>
  </si>
  <si>
    <t xml:space="preserve">10. Coûts indirects (maximum 7 % de la ligne 7 Sous-total des coûts directs éligibles de l’action) </t>
  </si>
  <si>
    <t>11. Total des coûts éligibles (9+10)</t>
  </si>
  <si>
    <t>12.  - Taxes</t>
  </si>
  <si>
    <t>12.  - Contributions en nature</t>
  </si>
  <si>
    <t>13. Total des coûts acceptés de l'action (11+12)</t>
  </si>
  <si>
    <t>NIMD</t>
  </si>
  <si>
    <t>Allocation par partenaire</t>
  </si>
  <si>
    <t>Budget disponible au 31.12.2024 par partenaire</t>
  </si>
  <si>
    <t>Budget 2025 Total  + par partenaire</t>
  </si>
  <si>
    <t>TOTAL</t>
  </si>
  <si>
    <t>A.1.5.8 Récyclage des jeunes Assistant.e.s ( Nouvelle activité)</t>
  </si>
  <si>
    <t>A.3.5.7 Organiser les séances de sortie avec les pépinières de la cohorte 1 et 2.  (Nouvelle activité)</t>
  </si>
  <si>
    <t xml:space="preserve">A.3.5.8 Organiser des accompagnements spécifiques aux pépinières de la cohorte 1 et 2 </t>
  </si>
  <si>
    <t>Total</t>
  </si>
  <si>
    <t>Dépenses 2024 (auditées)</t>
  </si>
  <si>
    <t>Correction interne voir lingne 53  ete compter 2x dans le budget soumis</t>
  </si>
  <si>
    <t>Budget 2026 PRLFP</t>
  </si>
  <si>
    <t>Économies réalisées sur le budget 2025</t>
  </si>
  <si>
    <t>Montant</t>
  </si>
  <si>
    <t>Note</t>
  </si>
  <si>
    <t>Allocation par partenaires en FCFA</t>
  </si>
  <si>
    <t>Budget disponible (theoriquement) 2026 Total + par partenaires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</si>
</sst>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 #,##0_ ;_ * \-#,##0_ ;_ * &quot;-&quot;_ ;_ @_ "/>
    <numFmt numFmtId="164" formatCode="_-* #,##0_-;\-* #,##0_-;_-* &quot;-&quot;_-;_-@_-"/>
    <numFmt numFmtId="165" formatCode="[$XOF]\ #,##0"/>
  </numFmts>
  <fonts count="18" x14ac:knownFonts="1">
    <font>
      <sz val="11"/>
      <color theme="1"/>
      <name val="Aptos Narrow"/>
      <family val="2"/>
      <scheme val="minor"/>
    </font>
    <font>
      <sz val="11"/>
      <color theme="1"/>
      <name val="Aptos Narrow"/>
      <family val="2"/>
      <scheme val="minor"/>
    </font>
    <font>
      <b/>
      <sz val="12"/>
      <name val="Aptos Narrow"/>
      <family val="2"/>
      <scheme val="minor"/>
    </font>
    <font>
      <b/>
      <sz val="14"/>
      <name val="Aptos Narrow"/>
      <family val="2"/>
      <scheme val="minor"/>
    </font>
    <font>
      <b/>
      <sz val="10"/>
      <name val="Aptos Narrow"/>
      <family val="2"/>
      <scheme val="minor"/>
    </font>
    <font>
      <sz val="10"/>
      <name val="Aptos Narrow"/>
      <family val="2"/>
      <scheme val="minor"/>
    </font>
    <font>
      <i/>
      <sz val="10"/>
      <name val="Aptos Narrow"/>
      <family val="2"/>
      <scheme val="minor"/>
    </font>
    <font>
      <b/>
      <sz val="11"/>
      <name val="Aptos Display"/>
      <family val="2"/>
      <scheme val="major"/>
    </font>
    <font>
      <b/>
      <sz val="10"/>
      <name val="Aptos Display"/>
      <family val="2"/>
      <scheme val="major"/>
    </font>
    <font>
      <b/>
      <i/>
      <sz val="10"/>
      <name val="Aptos Narrow"/>
      <family val="2"/>
      <scheme val="minor"/>
    </font>
    <font>
      <sz val="10"/>
      <color rgb="FFFF0000"/>
      <name val="Aptos Narrow"/>
      <family val="2"/>
      <scheme val="minor"/>
    </font>
    <font>
      <sz val="10"/>
      <color theme="1"/>
      <name val="Aptos Narrow"/>
      <family val="2"/>
      <scheme val="minor"/>
    </font>
    <font>
      <b/>
      <sz val="10"/>
      <color theme="1"/>
      <name val="Aptos Narrow"/>
      <family val="2"/>
      <scheme val="minor"/>
    </font>
    <font>
      <sz val="9"/>
      <name val="Aptos Narrow"/>
      <family val="2"/>
      <scheme val="minor"/>
    </font>
    <font>
      <i/>
      <sz val="9"/>
      <name val="Aptos Narrow"/>
      <family val="2"/>
      <scheme val="minor"/>
    </font>
    <font>
      <sz val="8"/>
      <name val="Aptos Narrow"/>
      <family val="2"/>
      <scheme val="minor"/>
    </font>
    <font>
      <b/>
      <sz val="8"/>
      <name val="Aptos Narrow"/>
      <family val="2"/>
      <scheme val="minor"/>
    </font>
    <font>
      <b/>
      <sz val="11"/>
      <color theme="1"/>
      <name val="Aptos Narrow"/>
      <family val="2"/>
      <scheme val="minor"/>
    </font>
  </fonts>
  <fills count="11">
    <fill>
      <patternFill patternType="none"/>
    </fill>
    <fill>
      <patternFill patternType="gray125"/>
    </fill>
    <fill>
      <patternFill patternType="solid">
        <fgColor theme="1" tint="0.499984740745262"/>
        <bgColor indexed="64"/>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rgb="FFFF6D6D"/>
        <bgColor indexed="64"/>
      </patternFill>
    </fill>
    <fill>
      <patternFill patternType="solid">
        <fgColor rgb="FF92D05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139">
    <xf numFmtId="0" fontId="0" fillId="0" borderId="0" xfId="0"/>
    <xf numFmtId="0" fontId="2" fillId="0" borderId="0" xfId="1" applyNumberFormat="1" applyFont="1" applyAlignment="1">
      <alignment vertical="center"/>
    </xf>
    <xf numFmtId="0" fontId="3" fillId="0" borderId="0" xfId="1" applyNumberFormat="1" applyFont="1" applyAlignment="1">
      <alignment vertical="center"/>
    </xf>
    <xf numFmtId="164" fontId="4" fillId="0" borderId="0" xfId="1" applyFont="1" applyAlignment="1">
      <alignment horizontal="left" vertical="center"/>
    </xf>
    <xf numFmtId="164" fontId="5" fillId="0" borderId="0" xfId="1" applyFont="1" applyBorder="1" applyAlignment="1">
      <alignment vertical="center"/>
    </xf>
    <xf numFmtId="164" fontId="5" fillId="0" borderId="0" xfId="1" applyFont="1" applyAlignment="1">
      <alignment horizontal="left" vertical="center"/>
    </xf>
    <xf numFmtId="164" fontId="6" fillId="0" borderId="0" xfId="1" applyFont="1" applyAlignment="1">
      <alignment vertical="center"/>
    </xf>
    <xf numFmtId="164" fontId="5" fillId="0" borderId="0" xfId="1" applyFont="1" applyAlignment="1">
      <alignment vertical="center"/>
    </xf>
    <xf numFmtId="0" fontId="5" fillId="0" borderId="0" xfId="1" applyNumberFormat="1" applyFont="1" applyAlignment="1">
      <alignment vertical="center"/>
    </xf>
    <xf numFmtId="0" fontId="4" fillId="0" borderId="1" xfId="1" applyNumberFormat="1" applyFont="1" applyBorder="1" applyAlignment="1">
      <alignment horizontal="left" vertical="center" wrapText="1"/>
    </xf>
    <xf numFmtId="164" fontId="4" fillId="3" borderId="1" xfId="1" applyFont="1" applyFill="1" applyBorder="1" applyAlignment="1">
      <alignment horizontal="center" vertical="center"/>
    </xf>
    <xf numFmtId="164" fontId="4" fillId="3" borderId="1" xfId="1" applyFont="1" applyFill="1" applyBorder="1" applyAlignment="1">
      <alignment horizontal="center" vertical="center" wrapText="1"/>
    </xf>
    <xf numFmtId="0" fontId="4" fillId="3" borderId="1" xfId="1" applyNumberFormat="1" applyFont="1" applyFill="1" applyBorder="1" applyAlignment="1">
      <alignment horizontal="center" vertical="center" wrapText="1"/>
    </xf>
    <xf numFmtId="164" fontId="9" fillId="3" borderId="1" xfId="1" applyFont="1" applyFill="1" applyBorder="1" applyAlignment="1">
      <alignment horizontal="center" vertical="center"/>
    </xf>
    <xf numFmtId="164" fontId="8" fillId="3" borderId="1" xfId="1" applyFont="1" applyFill="1" applyBorder="1" applyAlignment="1">
      <alignment horizontal="center" vertical="center" wrapText="1"/>
    </xf>
    <xf numFmtId="0" fontId="4" fillId="0" borderId="1" xfId="1" applyNumberFormat="1" applyFont="1" applyBorder="1" applyAlignment="1">
      <alignment vertical="center" wrapText="1"/>
    </xf>
    <xf numFmtId="164" fontId="9" fillId="0" borderId="1" xfId="1" applyFont="1" applyBorder="1" applyAlignment="1">
      <alignment horizontal="center" vertical="center"/>
    </xf>
    <xf numFmtId="164" fontId="4" fillId="0" borderId="1" xfId="1" applyFont="1" applyBorder="1" applyAlignment="1">
      <alignment vertical="center"/>
    </xf>
    <xf numFmtId="164" fontId="4" fillId="4" borderId="1" xfId="1" applyFont="1" applyFill="1" applyBorder="1" applyAlignment="1">
      <alignment vertical="center"/>
    </xf>
    <xf numFmtId="0" fontId="5" fillId="0" borderId="1" xfId="1" applyNumberFormat="1" applyFont="1" applyBorder="1" applyAlignment="1">
      <alignment vertical="center" wrapText="1"/>
    </xf>
    <xf numFmtId="164" fontId="6" fillId="0" borderId="1" xfId="1" applyFont="1" applyBorder="1" applyAlignment="1">
      <alignment horizontal="center" vertical="center"/>
    </xf>
    <xf numFmtId="164" fontId="5" fillId="0" borderId="1" xfId="1" applyFont="1" applyBorder="1" applyAlignment="1">
      <alignment vertical="center"/>
    </xf>
    <xf numFmtId="164" fontId="5" fillId="4" borderId="1" xfId="1" applyFont="1" applyFill="1" applyBorder="1" applyAlignment="1">
      <alignment vertical="center"/>
    </xf>
    <xf numFmtId="164" fontId="5" fillId="0" borderId="1" xfId="1" applyFont="1" applyFill="1" applyBorder="1" applyAlignment="1">
      <alignment vertical="center"/>
    </xf>
    <xf numFmtId="0" fontId="9" fillId="3" borderId="1" xfId="1" applyNumberFormat="1" applyFont="1" applyFill="1" applyBorder="1" applyAlignment="1">
      <alignment vertical="center" wrapText="1"/>
    </xf>
    <xf numFmtId="164" fontId="9" fillId="3" borderId="1" xfId="1" applyFont="1" applyFill="1" applyBorder="1" applyAlignment="1">
      <alignment vertical="center" wrapText="1"/>
    </xf>
    <xf numFmtId="164" fontId="5" fillId="5" borderId="1" xfId="1" applyFont="1" applyFill="1" applyBorder="1" applyAlignment="1">
      <alignment vertical="center"/>
    </xf>
    <xf numFmtId="164" fontId="4" fillId="3" borderId="1" xfId="1" applyFont="1" applyFill="1" applyBorder="1" applyAlignment="1">
      <alignment vertical="center"/>
    </xf>
    <xf numFmtId="164" fontId="4" fillId="6" borderId="1" xfId="1" applyFont="1" applyFill="1" applyBorder="1" applyAlignment="1">
      <alignment vertical="center"/>
    </xf>
    <xf numFmtId="164" fontId="5" fillId="7" borderId="1" xfId="1" applyFont="1" applyFill="1" applyBorder="1" applyAlignment="1">
      <alignment vertical="center"/>
    </xf>
    <xf numFmtId="164" fontId="10" fillId="7" borderId="1" xfId="1" applyFont="1" applyFill="1" applyBorder="1" applyAlignment="1">
      <alignment vertical="center"/>
    </xf>
    <xf numFmtId="164" fontId="9" fillId="5" borderId="1" xfId="1" applyFont="1" applyFill="1" applyBorder="1" applyAlignment="1">
      <alignment vertical="center" wrapText="1"/>
    </xf>
    <xf numFmtId="0" fontId="5" fillId="0" borderId="1" xfId="1" applyNumberFormat="1" applyFont="1" applyBorder="1" applyAlignment="1">
      <alignment vertical="center"/>
    </xf>
    <xf numFmtId="164" fontId="4" fillId="5" borderId="1" xfId="1" applyFont="1" applyFill="1" applyBorder="1" applyAlignment="1">
      <alignment vertical="center"/>
    </xf>
    <xf numFmtId="0" fontId="9" fillId="8" borderId="1" xfId="1" applyNumberFormat="1" applyFont="1" applyFill="1" applyBorder="1" applyAlignment="1">
      <alignment vertical="center" wrapText="1"/>
    </xf>
    <xf numFmtId="164" fontId="9" fillId="8" borderId="1" xfId="1" applyFont="1" applyFill="1" applyBorder="1" applyAlignment="1">
      <alignment vertical="center" wrapText="1"/>
    </xf>
    <xf numFmtId="164" fontId="5" fillId="8" borderId="1" xfId="1" applyFont="1" applyFill="1" applyBorder="1" applyAlignment="1">
      <alignment vertical="center"/>
    </xf>
    <xf numFmtId="164" fontId="4" fillId="8" borderId="1" xfId="1" applyFont="1" applyFill="1" applyBorder="1" applyAlignment="1">
      <alignment vertical="center"/>
    </xf>
    <xf numFmtId="164" fontId="6" fillId="0" borderId="1" xfId="1" applyFont="1" applyBorder="1" applyAlignment="1">
      <alignment vertical="center"/>
    </xf>
    <xf numFmtId="164" fontId="5" fillId="6" borderId="1" xfId="1" applyFont="1" applyFill="1" applyBorder="1" applyAlignment="1">
      <alignment vertical="center"/>
    </xf>
    <xf numFmtId="0" fontId="5" fillId="0" borderId="1" xfId="1" applyNumberFormat="1" applyFont="1" applyBorder="1" applyAlignment="1">
      <alignment horizontal="left" vertical="center" wrapText="1"/>
    </xf>
    <xf numFmtId="0" fontId="5" fillId="7" borderId="1" xfId="1" applyNumberFormat="1" applyFont="1" applyFill="1" applyBorder="1" applyAlignment="1">
      <alignment horizontal="left" vertical="center" wrapText="1"/>
    </xf>
    <xf numFmtId="164" fontId="6" fillId="7" borderId="1" xfId="1" applyFont="1" applyFill="1" applyBorder="1" applyAlignment="1">
      <alignment horizontal="center" vertical="center"/>
    </xf>
    <xf numFmtId="164" fontId="5" fillId="7" borderId="0" xfId="1" applyFont="1" applyFill="1" applyAlignment="1">
      <alignment vertical="center"/>
    </xf>
    <xf numFmtId="0" fontId="9" fillId="3" borderId="1" xfId="1" applyNumberFormat="1" applyFont="1" applyFill="1" applyBorder="1" applyAlignment="1">
      <alignment horizontal="left" vertical="center" wrapText="1"/>
    </xf>
    <xf numFmtId="0" fontId="4" fillId="7" borderId="1" xfId="1" applyNumberFormat="1" applyFont="1" applyFill="1" applyBorder="1" applyAlignment="1">
      <alignment horizontal="left" vertical="center" wrapText="1"/>
    </xf>
    <xf numFmtId="164" fontId="4" fillId="0" borderId="1" xfId="1" applyFont="1" applyBorder="1" applyAlignment="1">
      <alignment vertical="center" wrapText="1"/>
    </xf>
    <xf numFmtId="164" fontId="9" fillId="7" borderId="1" xfId="1" applyFont="1" applyFill="1" applyBorder="1" applyAlignment="1">
      <alignment horizontal="center" vertical="center"/>
    </xf>
    <xf numFmtId="164" fontId="4" fillId="7" borderId="1" xfId="1" applyFont="1" applyFill="1" applyBorder="1" applyAlignment="1">
      <alignment vertical="center"/>
    </xf>
    <xf numFmtId="164" fontId="4" fillId="7" borderId="0" xfId="1" applyFont="1" applyFill="1" applyAlignment="1">
      <alignment vertical="center"/>
    </xf>
    <xf numFmtId="0" fontId="6" fillId="7" borderId="1" xfId="1" applyNumberFormat="1" applyFont="1" applyFill="1" applyBorder="1" applyAlignment="1">
      <alignment horizontal="left" vertical="center" wrapText="1"/>
    </xf>
    <xf numFmtId="164" fontId="9" fillId="7" borderId="1" xfId="1" applyFont="1" applyFill="1" applyBorder="1" applyAlignment="1">
      <alignment vertical="center"/>
    </xf>
    <xf numFmtId="164" fontId="6" fillId="7" borderId="1" xfId="1" applyFont="1" applyFill="1" applyBorder="1" applyAlignment="1">
      <alignment horizontal="right" vertical="center"/>
    </xf>
    <xf numFmtId="164" fontId="9" fillId="7" borderId="0" xfId="1" applyFont="1" applyFill="1" applyAlignment="1">
      <alignment vertical="center"/>
    </xf>
    <xf numFmtId="164" fontId="6" fillId="7" borderId="1" xfId="1" applyFont="1" applyFill="1" applyBorder="1" applyAlignment="1">
      <alignment vertical="center"/>
    </xf>
    <xf numFmtId="164" fontId="6" fillId="7" borderId="0" xfId="1" applyFont="1" applyFill="1" applyAlignment="1">
      <alignment vertical="center"/>
    </xf>
    <xf numFmtId="164" fontId="6" fillId="7" borderId="0" xfId="1" applyFont="1" applyFill="1" applyAlignment="1">
      <alignment horizontal="right" vertical="center"/>
    </xf>
    <xf numFmtId="0" fontId="6" fillId="0" borderId="1" xfId="1" applyNumberFormat="1" applyFont="1" applyBorder="1" applyAlignment="1">
      <alignment horizontal="left" vertical="center" wrapText="1"/>
    </xf>
    <xf numFmtId="164" fontId="6" fillId="4" borderId="1" xfId="1" applyFont="1" applyFill="1" applyBorder="1" applyAlignment="1">
      <alignment vertical="center"/>
    </xf>
    <xf numFmtId="164" fontId="4" fillId="0" borderId="0" xfId="1" applyFont="1" applyAlignment="1">
      <alignment vertical="center"/>
    </xf>
    <xf numFmtId="0" fontId="4" fillId="7" borderId="1" xfId="1" applyNumberFormat="1" applyFont="1" applyFill="1" applyBorder="1" applyAlignment="1">
      <alignment vertical="center" wrapText="1"/>
    </xf>
    <xf numFmtId="0" fontId="4" fillId="8" borderId="1" xfId="1" applyNumberFormat="1" applyFont="1" applyFill="1" applyBorder="1" applyAlignment="1">
      <alignment vertical="center" wrapText="1"/>
    </xf>
    <xf numFmtId="0" fontId="5" fillId="7" borderId="1" xfId="1" applyNumberFormat="1" applyFont="1" applyFill="1" applyBorder="1" applyAlignment="1">
      <alignment vertical="center" wrapText="1"/>
    </xf>
    <xf numFmtId="0" fontId="4" fillId="9" borderId="1" xfId="1" applyNumberFormat="1" applyFont="1" applyFill="1" applyBorder="1" applyAlignment="1">
      <alignment vertical="center" wrapText="1"/>
    </xf>
    <xf numFmtId="164" fontId="9" fillId="9" borderId="1" xfId="1" applyFont="1" applyFill="1" applyBorder="1" applyAlignment="1">
      <alignment horizontal="center" vertical="center"/>
    </xf>
    <xf numFmtId="164" fontId="9" fillId="9" borderId="1" xfId="1" applyFont="1" applyFill="1" applyBorder="1" applyAlignment="1">
      <alignment vertical="center"/>
    </xf>
    <xf numFmtId="164" fontId="4" fillId="9" borderId="1" xfId="1" applyFont="1" applyFill="1" applyBorder="1" applyAlignment="1">
      <alignment vertical="center"/>
    </xf>
    <xf numFmtId="41" fontId="5" fillId="4" borderId="1" xfId="0" applyNumberFormat="1" applyFont="1" applyFill="1" applyBorder="1" applyAlignment="1">
      <alignment vertical="center"/>
    </xf>
    <xf numFmtId="41" fontId="4" fillId="3" borderId="1" xfId="0" applyNumberFormat="1" applyFont="1" applyFill="1" applyBorder="1" applyAlignment="1">
      <alignment vertical="center"/>
    </xf>
    <xf numFmtId="41" fontId="4" fillId="8" borderId="1" xfId="0" applyNumberFormat="1" applyFont="1" applyFill="1" applyBorder="1" applyAlignment="1">
      <alignment vertical="center"/>
    </xf>
    <xf numFmtId="0" fontId="5" fillId="0" borderId="1" xfId="0" applyFont="1" applyBorder="1" applyAlignment="1">
      <alignment vertical="center"/>
    </xf>
    <xf numFmtId="41" fontId="5" fillId="7" borderId="1" xfId="0" applyNumberFormat="1" applyFont="1" applyFill="1" applyBorder="1" applyAlignment="1">
      <alignment vertical="center"/>
    </xf>
    <xf numFmtId="41" fontId="4" fillId="7" borderId="1" xfId="0" applyNumberFormat="1" applyFont="1" applyFill="1" applyBorder="1" applyAlignment="1">
      <alignment vertical="center"/>
    </xf>
    <xf numFmtId="41" fontId="9" fillId="7" borderId="1" xfId="0" applyNumberFormat="1" applyFont="1" applyFill="1" applyBorder="1" applyAlignment="1">
      <alignment vertical="center"/>
    </xf>
    <xf numFmtId="41" fontId="6" fillId="7" borderId="1" xfId="0" applyNumberFormat="1" applyFont="1" applyFill="1" applyBorder="1" applyAlignment="1">
      <alignment vertical="center"/>
    </xf>
    <xf numFmtId="41" fontId="6" fillId="7" borderId="1" xfId="0" applyNumberFormat="1" applyFont="1" applyFill="1" applyBorder="1" applyAlignment="1">
      <alignment horizontal="right" vertical="center"/>
    </xf>
    <xf numFmtId="41" fontId="6" fillId="4" borderId="1" xfId="0" applyNumberFormat="1" applyFont="1" applyFill="1" applyBorder="1" applyAlignment="1">
      <alignment vertical="center"/>
    </xf>
    <xf numFmtId="41" fontId="4" fillId="4" borderId="1" xfId="0" applyNumberFormat="1" applyFont="1" applyFill="1" applyBorder="1" applyAlignment="1">
      <alignment vertical="center"/>
    </xf>
    <xf numFmtId="41" fontId="5" fillId="0" borderId="1" xfId="0" applyNumberFormat="1" applyFont="1" applyBorder="1" applyAlignment="1">
      <alignment vertical="center"/>
    </xf>
    <xf numFmtId="41" fontId="4" fillId="9" borderId="1" xfId="0" applyNumberFormat="1" applyFont="1" applyFill="1" applyBorder="1" applyAlignment="1">
      <alignment vertical="center"/>
    </xf>
    <xf numFmtId="164" fontId="4" fillId="0" borderId="1" xfId="1" applyFont="1" applyFill="1" applyBorder="1" applyAlignment="1">
      <alignment vertical="center"/>
    </xf>
    <xf numFmtId="41" fontId="11" fillId="4" borderId="1" xfId="0" applyNumberFormat="1" applyFont="1" applyFill="1" applyBorder="1" applyAlignment="1">
      <alignment vertical="center"/>
    </xf>
    <xf numFmtId="41" fontId="12" fillId="3" borderId="1" xfId="0" applyNumberFormat="1" applyFont="1" applyFill="1" applyBorder="1" applyAlignment="1">
      <alignment vertical="center"/>
    </xf>
    <xf numFmtId="41" fontId="12" fillId="4" borderId="1" xfId="0" applyNumberFormat="1" applyFont="1" applyFill="1" applyBorder="1" applyAlignment="1">
      <alignment vertical="center"/>
    </xf>
    <xf numFmtId="41" fontId="12" fillId="8" borderId="1" xfId="0" applyNumberFormat="1" applyFont="1" applyFill="1" applyBorder="1" applyAlignment="1">
      <alignment vertical="center"/>
    </xf>
    <xf numFmtId="41" fontId="11" fillId="7" borderId="1" xfId="0" applyNumberFormat="1" applyFont="1" applyFill="1" applyBorder="1" applyAlignment="1">
      <alignment horizontal="right" vertical="center"/>
    </xf>
    <xf numFmtId="41" fontId="11" fillId="7" borderId="1" xfId="0" applyNumberFormat="1" applyFont="1" applyFill="1" applyBorder="1" applyAlignment="1">
      <alignment vertical="center"/>
    </xf>
    <xf numFmtId="0" fontId="11" fillId="7" borderId="1" xfId="0" applyFont="1" applyFill="1" applyBorder="1" applyAlignment="1">
      <alignment horizontal="left" vertical="center" wrapText="1"/>
    </xf>
    <xf numFmtId="0" fontId="9" fillId="10" borderId="1" xfId="1" applyNumberFormat="1" applyFont="1" applyFill="1" applyBorder="1" applyAlignment="1">
      <alignment vertical="center" wrapText="1"/>
    </xf>
    <xf numFmtId="164" fontId="9" fillId="10" borderId="1" xfId="1" applyFont="1" applyFill="1" applyBorder="1" applyAlignment="1">
      <alignment vertical="center" wrapText="1"/>
    </xf>
    <xf numFmtId="164" fontId="5" fillId="10" borderId="1" xfId="1" applyFont="1" applyFill="1" applyBorder="1" applyAlignment="1">
      <alignment vertical="center"/>
    </xf>
    <xf numFmtId="164" fontId="4" fillId="10" borderId="1" xfId="1" applyFont="1" applyFill="1" applyBorder="1" applyAlignment="1">
      <alignment vertical="center"/>
    </xf>
    <xf numFmtId="41" fontId="4" fillId="10" borderId="1" xfId="0" applyNumberFormat="1" applyFont="1" applyFill="1" applyBorder="1" applyAlignment="1">
      <alignment vertical="center"/>
    </xf>
    <xf numFmtId="164" fontId="5" fillId="10" borderId="0" xfId="1" applyFont="1" applyFill="1" applyAlignment="1">
      <alignment vertical="center"/>
    </xf>
    <xf numFmtId="0" fontId="13" fillId="0" borderId="0" xfId="1" applyNumberFormat="1" applyFont="1" applyAlignment="1">
      <alignment vertical="center"/>
    </xf>
    <xf numFmtId="164" fontId="14" fillId="0" borderId="0" xfId="1" applyFont="1" applyAlignment="1">
      <alignment vertical="center"/>
    </xf>
    <xf numFmtId="164" fontId="13" fillId="0" borderId="0" xfId="1" applyFont="1" applyAlignment="1">
      <alignment vertical="center"/>
    </xf>
    <xf numFmtId="165" fontId="15" fillId="0" borderId="0" xfId="1" applyNumberFormat="1" applyFont="1" applyAlignment="1">
      <alignment vertical="center"/>
    </xf>
    <xf numFmtId="0" fontId="9" fillId="0" borderId="1" xfId="1" applyNumberFormat="1" applyFont="1" applyFill="1" applyBorder="1" applyAlignment="1">
      <alignment vertical="center" wrapText="1"/>
    </xf>
    <xf numFmtId="164" fontId="9" fillId="0" borderId="1" xfId="1" applyFont="1" applyFill="1" applyBorder="1" applyAlignment="1">
      <alignment vertical="center" wrapText="1"/>
    </xf>
    <xf numFmtId="41" fontId="4" fillId="0" borderId="1" xfId="0" applyNumberFormat="1" applyFont="1" applyBorder="1" applyAlignment="1">
      <alignment vertical="center"/>
    </xf>
    <xf numFmtId="164" fontId="5" fillId="0" borderId="0" xfId="1" applyFont="1" applyFill="1" applyAlignment="1">
      <alignment vertical="center"/>
    </xf>
    <xf numFmtId="0" fontId="4" fillId="0" borderId="1" xfId="1" applyNumberFormat="1" applyFont="1" applyFill="1" applyBorder="1" applyAlignment="1">
      <alignment vertical="center" wrapText="1"/>
    </xf>
    <xf numFmtId="165" fontId="16" fillId="8" borderId="0" xfId="1" applyNumberFormat="1" applyFont="1" applyFill="1" applyAlignment="1">
      <alignment vertical="center"/>
    </xf>
    <xf numFmtId="164" fontId="10" fillId="4" borderId="1" xfId="1" applyFont="1" applyFill="1" applyBorder="1" applyAlignment="1">
      <alignment vertical="center"/>
    </xf>
    <xf numFmtId="164" fontId="6" fillId="0" borderId="1" xfId="1" applyFont="1" applyFill="1" applyBorder="1" applyAlignment="1">
      <alignment vertical="center"/>
    </xf>
    <xf numFmtId="165" fontId="5" fillId="9" borderId="1" xfId="1" applyNumberFormat="1" applyFont="1" applyFill="1" applyBorder="1" applyAlignment="1">
      <alignment vertical="center"/>
    </xf>
    <xf numFmtId="164" fontId="4" fillId="0" borderId="1" xfId="1" applyFont="1" applyFill="1" applyBorder="1" applyAlignment="1">
      <alignment vertical="center" wrapText="1"/>
    </xf>
    <xf numFmtId="164" fontId="5" fillId="0" borderId="4" xfId="1" applyFont="1" applyBorder="1" applyAlignment="1">
      <alignment vertical="center"/>
    </xf>
    <xf numFmtId="164" fontId="5" fillId="0" borderId="4" xfId="1" applyFont="1" applyFill="1" applyBorder="1" applyAlignment="1">
      <alignment vertical="center"/>
    </xf>
    <xf numFmtId="164" fontId="4" fillId="3" borderId="4" xfId="1" applyFont="1" applyFill="1" applyBorder="1" applyAlignment="1">
      <alignment vertical="center"/>
    </xf>
    <xf numFmtId="164" fontId="4" fillId="5" borderId="4" xfId="1" applyFont="1" applyFill="1" applyBorder="1" applyAlignment="1">
      <alignment vertical="center"/>
    </xf>
    <xf numFmtId="164" fontId="4" fillId="8" borderId="4" xfId="1" applyFont="1" applyFill="1" applyBorder="1" applyAlignment="1">
      <alignment vertical="center"/>
    </xf>
    <xf numFmtId="164" fontId="4" fillId="0" borderId="4" xfId="1" applyFont="1" applyBorder="1" applyAlignment="1">
      <alignment vertical="center"/>
    </xf>
    <xf numFmtId="164" fontId="9" fillId="7" borderId="4" xfId="1" applyFont="1" applyFill="1" applyBorder="1" applyAlignment="1">
      <alignment vertical="center"/>
    </xf>
    <xf numFmtId="164" fontId="6" fillId="7" borderId="4" xfId="1" applyFont="1" applyFill="1" applyBorder="1" applyAlignment="1">
      <alignment vertical="center"/>
    </xf>
    <xf numFmtId="164" fontId="6" fillId="7" borderId="4" xfId="1" applyFont="1" applyFill="1" applyBorder="1" applyAlignment="1">
      <alignment horizontal="right" vertical="center"/>
    </xf>
    <xf numFmtId="164" fontId="6" fillId="0" borderId="4" xfId="1" applyFont="1" applyBorder="1" applyAlignment="1">
      <alignment vertical="center"/>
    </xf>
    <xf numFmtId="164" fontId="4" fillId="7" borderId="4" xfId="1" applyFont="1" applyFill="1" applyBorder="1" applyAlignment="1">
      <alignment vertical="center"/>
    </xf>
    <xf numFmtId="164" fontId="4" fillId="0" borderId="4" xfId="1" applyFont="1" applyFill="1" applyBorder="1" applyAlignment="1">
      <alignment vertical="center"/>
    </xf>
    <xf numFmtId="164" fontId="4" fillId="10" borderId="4" xfId="1" applyFont="1" applyFill="1" applyBorder="1" applyAlignment="1">
      <alignment vertical="center"/>
    </xf>
    <xf numFmtId="164" fontId="4" fillId="9" borderId="4" xfId="1" applyFont="1" applyFill="1" applyBorder="1" applyAlignment="1">
      <alignment vertical="center"/>
    </xf>
    <xf numFmtId="165" fontId="5" fillId="9" borderId="4" xfId="1" applyNumberFormat="1" applyFont="1" applyFill="1" applyBorder="1" applyAlignment="1">
      <alignment vertical="center"/>
    </xf>
    <xf numFmtId="164" fontId="13" fillId="0" borderId="1" xfId="1" applyFont="1" applyBorder="1" applyAlignment="1">
      <alignment vertical="center"/>
    </xf>
    <xf numFmtId="164" fontId="4" fillId="5" borderId="1" xfId="1" applyFont="1" applyFill="1" applyBorder="1" applyAlignment="1">
      <alignment horizontal="center" vertical="center"/>
    </xf>
    <xf numFmtId="165" fontId="15" fillId="8" borderId="0" xfId="1" applyNumberFormat="1" applyFont="1" applyFill="1" applyAlignment="1">
      <alignment vertical="center"/>
    </xf>
    <xf numFmtId="164" fontId="7" fillId="3" borderId="1" xfId="1" applyFont="1" applyFill="1" applyBorder="1" applyAlignment="1">
      <alignment horizontal="center" vertical="center" wrapText="1"/>
    </xf>
    <xf numFmtId="0" fontId="17" fillId="5" borderId="1" xfId="0" applyFont="1" applyFill="1" applyBorder="1" applyAlignment="1">
      <alignment horizontal="center" vertical="center" wrapText="1"/>
    </xf>
    <xf numFmtId="164" fontId="4" fillId="3" borderId="1" xfId="1" applyFont="1" applyFill="1" applyBorder="1" applyAlignment="1">
      <alignment horizontal="center" vertical="center" wrapText="1"/>
    </xf>
    <xf numFmtId="164" fontId="4" fillId="3" borderId="4" xfId="1" applyFont="1" applyFill="1" applyBorder="1" applyAlignment="1">
      <alignment horizontal="center" vertical="center" wrapText="1"/>
    </xf>
    <xf numFmtId="164" fontId="4" fillId="3" borderId="5" xfId="1" applyFont="1" applyFill="1" applyBorder="1" applyAlignment="1">
      <alignment horizontal="center" vertical="center" wrapText="1"/>
    </xf>
    <xf numFmtId="164" fontId="4" fillId="3" borderId="6" xfId="1" applyFont="1" applyFill="1" applyBorder="1" applyAlignment="1">
      <alignment horizontal="center" vertical="center" wrapText="1"/>
    </xf>
    <xf numFmtId="164" fontId="4" fillId="2" borderId="2" xfId="1" applyFont="1" applyFill="1" applyBorder="1" applyAlignment="1">
      <alignment horizontal="center" vertical="center"/>
    </xf>
    <xf numFmtId="164" fontId="4" fillId="2" borderId="3" xfId="1" applyFont="1" applyFill="1" applyBorder="1" applyAlignment="1">
      <alignment horizontal="center" vertical="center"/>
    </xf>
    <xf numFmtId="164" fontId="4" fillId="8" borderId="1" xfId="1" applyFont="1" applyFill="1" applyBorder="1" applyAlignment="1">
      <alignment vertical="center" wrapText="1"/>
    </xf>
    <xf numFmtId="164" fontId="9" fillId="7" borderId="1" xfId="1" applyFont="1" applyFill="1" applyBorder="1" applyAlignment="1">
      <alignment horizontal="center" vertical="center"/>
    </xf>
    <xf numFmtId="164" fontId="9" fillId="3" borderId="1" xfId="1" applyFont="1" applyFill="1" applyBorder="1" applyAlignment="1">
      <alignment vertical="center" wrapText="1"/>
    </xf>
    <xf numFmtId="164" fontId="5" fillId="0" borderId="1" xfId="1" applyFont="1" applyBorder="1" applyAlignment="1">
      <alignment vertical="center"/>
    </xf>
    <xf numFmtId="164" fontId="4" fillId="3" borderId="1" xfId="1" applyFont="1" applyFill="1" applyBorder="1" applyAlignment="1">
      <alignment horizontal="center" vertical="center"/>
    </xf>
  </cellXfs>
  <cellStyles count="2">
    <cellStyle name="Comma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Hans Christiaanse" id="{42D8D0A0-3ABD-428F-AB42-B8FA25779D0D}" userId="S::hanschristiaanse@nimd.org::3c9df651-3522-4986-a361-c6ab2ff79d7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G155" dT="2025-10-30T10:08:05.25" personId="{42D8D0A0-3ABD-428F-AB42-B8FA25779D0D}" id="{4747CCB1-1641-4F6C-B467-28A511D4140E}">
    <text xml:space="preserve">Dans le budget approuvé, les coûts indirects totaux de 7 % ont été attribués uniquement au NIMD. Bien entendu, nous verserons ces 7 % conformément aux règles convenues.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861CD-DEDB-4FDB-B121-D5C37D04EF1E}">
  <sheetPr>
    <tabColor rgb="FFFFFF00"/>
  </sheetPr>
  <dimension ref="A1:XEV160"/>
  <sheetViews>
    <sheetView tabSelected="1" view="pageBreakPreview" topLeftCell="AL4" zoomScaleNormal="90" zoomScaleSheetLayoutView="100" workbookViewId="0">
      <selection activeCell="BK18" sqref="BK18"/>
    </sheetView>
  </sheetViews>
  <sheetFormatPr defaultColWidth="9.1796875" defaultRowHeight="13" outlineLevelRow="1" outlineLevelCol="1" x14ac:dyDescent="0.35"/>
  <cols>
    <col min="1" max="1" width="76.1796875" style="8" customWidth="1"/>
    <col min="2" max="2" width="12.54296875" style="6" hidden="1" customWidth="1" outlineLevel="1"/>
    <col min="3" max="3" width="10.54296875" style="7" hidden="1" customWidth="1" outlineLevel="1"/>
    <col min="4" max="4" width="13.54296875" style="7" hidden="1" customWidth="1" outlineLevel="1"/>
    <col min="5" max="5" width="14.54296875" style="7" hidden="1" customWidth="1" outlineLevel="1"/>
    <col min="6" max="6" width="16.54296875" style="7" hidden="1" customWidth="1" outlineLevel="1"/>
    <col min="7" max="7" width="11.1796875" style="7" hidden="1" customWidth="1" outlineLevel="1"/>
    <col min="8" max="8" width="20.7265625" style="7" customWidth="1" collapsed="1"/>
    <col min="9" max="9" width="20.7265625" style="7" customWidth="1"/>
    <col min="10" max="11" width="12.54296875" style="7" customWidth="1"/>
    <col min="12" max="12" width="18" style="7" customWidth="1"/>
    <col min="13" max="13" width="12.453125" style="7" customWidth="1"/>
    <col min="14" max="14" width="13.08984375" style="7" customWidth="1"/>
    <col min="15" max="15" width="15.54296875" style="7" customWidth="1"/>
    <col min="16" max="21" width="13.08984375" style="7" customWidth="1"/>
    <col min="22" max="22" width="13.08984375" style="7" customWidth="1" collapsed="1"/>
    <col min="23" max="24" width="13.08984375" style="7" customWidth="1"/>
    <col min="25" max="25" width="13.08984375" style="7" customWidth="1" collapsed="1"/>
    <col min="26" max="26" width="13.08984375" style="7" customWidth="1" outlineLevel="1"/>
    <col min="27" max="31" width="13.08984375" style="7" customWidth="1"/>
    <col min="32" max="32" width="13.08984375" style="7" customWidth="1" collapsed="1"/>
    <col min="33" max="35" width="13.08984375" style="7" customWidth="1"/>
    <col min="36" max="39" width="16.26953125" style="7" customWidth="1"/>
    <col min="40" max="41" width="13.08984375" style="7" hidden="1" customWidth="1"/>
    <col min="42" max="45" width="15.26953125" style="7" hidden="1" customWidth="1"/>
    <col min="46" max="49" width="13.08984375" style="7" hidden="1" customWidth="1"/>
    <col min="50" max="50" width="13.36328125" style="7" hidden="1" customWidth="1"/>
    <col min="51" max="51" width="34.36328125" style="7" hidden="1" customWidth="1"/>
    <col min="52" max="16375" width="9.1796875" style="7"/>
    <col min="16376" max="16376" width="11.6328125" style="7" bestFit="1" customWidth="1"/>
    <col min="16377" max="16384" width="11.6328125" style="7" customWidth="1"/>
  </cols>
  <sheetData>
    <row r="1" spans="1:51" s="5" customFormat="1" ht="21" hidden="1" customHeight="1" x14ac:dyDescent="0.35">
      <c r="A1" s="1" t="s">
        <v>0</v>
      </c>
      <c r="B1" s="2"/>
      <c r="C1" s="2"/>
      <c r="D1" s="2"/>
      <c r="E1" s="2"/>
      <c r="F1" s="2"/>
      <c r="G1" s="2"/>
      <c r="H1" s="2"/>
      <c r="I1" s="2"/>
      <c r="J1" s="2"/>
      <c r="K1" s="3"/>
      <c r="L1" s="4">
        <v>7.0001980841902904</v>
      </c>
    </row>
    <row r="2" spans="1:51" ht="21" hidden="1" customHeight="1" x14ac:dyDescent="0.35">
      <c r="A2" s="1" t="s">
        <v>1</v>
      </c>
      <c r="B2" s="6">
        <v>655.95699999999999</v>
      </c>
      <c r="I2" s="7" t="s">
        <v>2</v>
      </c>
      <c r="L2" s="4"/>
      <c r="M2" s="4"/>
      <c r="N2" s="4"/>
      <c r="O2" s="4"/>
      <c r="P2" s="4"/>
      <c r="Q2" s="4"/>
      <c r="R2" s="4" t="s">
        <v>2</v>
      </c>
      <c r="S2" s="4"/>
      <c r="T2" s="4"/>
      <c r="U2" s="4"/>
      <c r="W2" s="7">
        <f>W149-381558384</f>
        <v>-0.42744004726409912</v>
      </c>
    </row>
    <row r="3" spans="1:51" ht="21" hidden="1" customHeight="1" x14ac:dyDescent="0.35">
      <c r="H3" s="132" t="s">
        <v>3</v>
      </c>
      <c r="I3" s="133"/>
      <c r="J3" s="133"/>
      <c r="K3" s="133"/>
      <c r="L3" s="133"/>
      <c r="M3" s="133"/>
      <c r="N3" s="133"/>
      <c r="O3" s="133"/>
      <c r="P3" s="133"/>
    </row>
    <row r="4" spans="1:51" ht="38" customHeight="1" x14ac:dyDescent="0.35">
      <c r="A4" s="9" t="s">
        <v>4</v>
      </c>
      <c r="B4" s="138" t="s">
        <v>5</v>
      </c>
      <c r="C4" s="138"/>
      <c r="D4" s="138"/>
      <c r="E4" s="138"/>
      <c r="F4" s="138"/>
      <c r="G4" s="138"/>
      <c r="H4" s="128" t="s">
        <v>6</v>
      </c>
      <c r="I4" s="128"/>
      <c r="J4" s="128"/>
      <c r="K4" s="128"/>
      <c r="L4" s="128"/>
      <c r="M4" s="128"/>
      <c r="N4" s="129" t="s">
        <v>181</v>
      </c>
      <c r="O4" s="130"/>
      <c r="P4" s="131"/>
      <c r="Q4" s="126" t="s">
        <v>7</v>
      </c>
      <c r="R4" s="126"/>
      <c r="S4" s="126" t="s">
        <v>8</v>
      </c>
      <c r="T4" s="126"/>
      <c r="U4" s="126" t="s">
        <v>9</v>
      </c>
      <c r="V4" s="126"/>
      <c r="W4" s="126" t="s">
        <v>189</v>
      </c>
      <c r="X4" s="126"/>
      <c r="Y4" s="126" t="s">
        <v>10</v>
      </c>
      <c r="Z4" s="126"/>
      <c r="AA4" s="126" t="s">
        <v>11</v>
      </c>
      <c r="AB4" s="126"/>
      <c r="AC4" s="129" t="s">
        <v>182</v>
      </c>
      <c r="AD4" s="130"/>
      <c r="AE4" s="131"/>
      <c r="AF4" s="129" t="s">
        <v>183</v>
      </c>
      <c r="AG4" s="130"/>
      <c r="AH4" s="130"/>
      <c r="AI4" s="131"/>
      <c r="AJ4" s="129" t="s">
        <v>196</v>
      </c>
      <c r="AK4" s="130"/>
      <c r="AL4" s="130"/>
      <c r="AM4" s="131"/>
      <c r="AN4" s="128" t="s">
        <v>191</v>
      </c>
      <c r="AO4" s="128"/>
      <c r="AP4" s="128"/>
      <c r="AQ4" s="128"/>
      <c r="AR4" s="128"/>
      <c r="AS4" s="128"/>
      <c r="AT4" s="129" t="s">
        <v>195</v>
      </c>
      <c r="AU4" s="130"/>
      <c r="AV4" s="130"/>
      <c r="AW4" s="131"/>
      <c r="AX4" s="127" t="s">
        <v>192</v>
      </c>
      <c r="AY4" s="127"/>
    </row>
    <row r="5" spans="1:51" ht="26" x14ac:dyDescent="0.35">
      <c r="A5" s="12" t="s">
        <v>12</v>
      </c>
      <c r="B5" s="13" t="s">
        <v>13</v>
      </c>
      <c r="C5" s="10" t="s">
        <v>14</v>
      </c>
      <c r="D5" s="11" t="s">
        <v>15</v>
      </c>
      <c r="E5" s="11" t="s">
        <v>16</v>
      </c>
      <c r="F5" s="11" t="s">
        <v>17</v>
      </c>
      <c r="G5" s="11" t="s">
        <v>18</v>
      </c>
      <c r="H5" s="13" t="s">
        <v>13</v>
      </c>
      <c r="I5" s="10" t="s">
        <v>14</v>
      </c>
      <c r="J5" s="11" t="s">
        <v>19</v>
      </c>
      <c r="K5" s="11" t="s">
        <v>20</v>
      </c>
      <c r="L5" s="11" t="s">
        <v>21</v>
      </c>
      <c r="M5" s="11" t="s">
        <v>22</v>
      </c>
      <c r="N5" s="11" t="s">
        <v>180</v>
      </c>
      <c r="O5" s="11" t="s">
        <v>49</v>
      </c>
      <c r="P5" s="11" t="s">
        <v>36</v>
      </c>
      <c r="Q5" s="14" t="s">
        <v>23</v>
      </c>
      <c r="R5" s="14" t="s">
        <v>24</v>
      </c>
      <c r="S5" s="14" t="s">
        <v>23</v>
      </c>
      <c r="T5" s="14" t="s">
        <v>24</v>
      </c>
      <c r="U5" s="14" t="s">
        <v>23</v>
      </c>
      <c r="V5" s="14" t="s">
        <v>24</v>
      </c>
      <c r="W5" s="14" t="s">
        <v>23</v>
      </c>
      <c r="X5" s="14" t="s">
        <v>24</v>
      </c>
      <c r="Y5" s="14" t="s">
        <v>23</v>
      </c>
      <c r="Z5" s="14" t="s">
        <v>24</v>
      </c>
      <c r="AA5" s="14" t="s">
        <v>23</v>
      </c>
      <c r="AB5" s="14" t="s">
        <v>24</v>
      </c>
      <c r="AC5" s="11" t="s">
        <v>180</v>
      </c>
      <c r="AD5" s="11" t="s">
        <v>49</v>
      </c>
      <c r="AE5" s="11" t="s">
        <v>36</v>
      </c>
      <c r="AF5" s="11" t="s">
        <v>184</v>
      </c>
      <c r="AG5" s="11" t="s">
        <v>180</v>
      </c>
      <c r="AH5" s="11" t="s">
        <v>49</v>
      </c>
      <c r="AI5" s="11" t="s">
        <v>36</v>
      </c>
      <c r="AJ5" s="11" t="s">
        <v>188</v>
      </c>
      <c r="AK5" s="11" t="s">
        <v>180</v>
      </c>
      <c r="AL5" s="11" t="s">
        <v>49</v>
      </c>
      <c r="AM5" s="11" t="s">
        <v>36</v>
      </c>
      <c r="AN5" s="13" t="s">
        <v>13</v>
      </c>
      <c r="AO5" s="10" t="s">
        <v>14</v>
      </c>
      <c r="AP5" s="11" t="s">
        <v>19</v>
      </c>
      <c r="AQ5" s="11" t="s">
        <v>20</v>
      </c>
      <c r="AR5" s="11" t="s">
        <v>21</v>
      </c>
      <c r="AS5" s="11" t="s">
        <v>22</v>
      </c>
      <c r="AT5" s="11" t="s">
        <v>184</v>
      </c>
      <c r="AU5" s="11" t="s">
        <v>180</v>
      </c>
      <c r="AV5" s="11" t="s">
        <v>49</v>
      </c>
      <c r="AW5" s="11" t="s">
        <v>36</v>
      </c>
      <c r="AX5" s="124" t="s">
        <v>193</v>
      </c>
      <c r="AY5" s="124" t="s">
        <v>194</v>
      </c>
    </row>
    <row r="6" spans="1:51" ht="15" customHeight="1" x14ac:dyDescent="0.35">
      <c r="A6" s="15" t="s">
        <v>25</v>
      </c>
      <c r="B6" s="16"/>
      <c r="C6" s="17"/>
      <c r="D6" s="17"/>
      <c r="E6" s="18"/>
      <c r="F6" s="18"/>
      <c r="G6" s="18"/>
      <c r="H6" s="16"/>
      <c r="I6" s="17"/>
      <c r="J6" s="17"/>
      <c r="K6" s="17"/>
      <c r="L6" s="18"/>
      <c r="M6" s="18"/>
      <c r="N6" s="18"/>
      <c r="O6" s="18"/>
      <c r="P6" s="18"/>
      <c r="Q6" s="18"/>
      <c r="R6" s="18"/>
      <c r="S6" s="18"/>
      <c r="T6" s="18"/>
      <c r="U6" s="18"/>
      <c r="V6" s="16"/>
      <c r="W6" s="18"/>
      <c r="X6" s="18"/>
      <c r="Y6" s="18"/>
      <c r="Z6" s="18"/>
      <c r="AA6" s="18"/>
      <c r="AB6" s="18"/>
      <c r="AC6" s="21"/>
      <c r="AD6" s="21"/>
      <c r="AE6" s="21"/>
      <c r="AF6" s="21"/>
      <c r="AG6" s="21"/>
      <c r="AH6" s="21"/>
      <c r="AI6" s="21"/>
      <c r="AJ6" s="21"/>
      <c r="AK6" s="21"/>
      <c r="AL6" s="21"/>
      <c r="AM6" s="108"/>
      <c r="AN6" s="21"/>
      <c r="AO6" s="21"/>
      <c r="AP6" s="21"/>
      <c r="AQ6" s="21"/>
      <c r="AR6" s="21"/>
      <c r="AS6" s="21"/>
      <c r="AT6" s="21"/>
      <c r="AU6" s="21"/>
      <c r="AV6" s="21"/>
      <c r="AW6" s="21"/>
    </row>
    <row r="7" spans="1:51" ht="15" customHeight="1" x14ac:dyDescent="0.35">
      <c r="A7" s="9" t="s">
        <v>26</v>
      </c>
      <c r="B7" s="16"/>
      <c r="C7" s="17"/>
      <c r="D7" s="17"/>
      <c r="E7" s="18"/>
      <c r="F7" s="18"/>
      <c r="G7" s="18"/>
      <c r="H7" s="16"/>
      <c r="I7" s="17"/>
      <c r="J7" s="17"/>
      <c r="K7" s="17"/>
      <c r="L7" s="18"/>
      <c r="M7" s="18"/>
      <c r="N7" s="18"/>
      <c r="O7" s="18"/>
      <c r="P7" s="18"/>
      <c r="Q7" s="18"/>
      <c r="R7" s="18"/>
      <c r="S7" s="18"/>
      <c r="T7" s="18"/>
      <c r="U7" s="18"/>
      <c r="V7" s="16"/>
      <c r="W7" s="18"/>
      <c r="X7" s="18"/>
      <c r="Y7" s="18"/>
      <c r="Z7" s="18"/>
      <c r="AA7" s="18"/>
      <c r="AB7" s="18"/>
      <c r="AC7" s="21"/>
      <c r="AD7" s="21"/>
      <c r="AE7" s="21"/>
      <c r="AF7" s="21"/>
      <c r="AG7" s="21"/>
      <c r="AH7" s="21"/>
      <c r="AI7" s="21"/>
      <c r="AJ7" s="21"/>
      <c r="AK7" s="21"/>
      <c r="AL7" s="21"/>
      <c r="AM7" s="108"/>
      <c r="AN7" s="21"/>
      <c r="AO7" s="21"/>
      <c r="AP7" s="21"/>
      <c r="AQ7" s="21"/>
      <c r="AR7" s="21"/>
      <c r="AS7" s="21"/>
      <c r="AT7" s="21"/>
      <c r="AU7" s="21"/>
      <c r="AV7" s="21"/>
      <c r="AW7" s="21"/>
    </row>
    <row r="8" spans="1:51" ht="27.65" customHeight="1" x14ac:dyDescent="0.35">
      <c r="A8" s="19" t="s">
        <v>27</v>
      </c>
      <c r="B8" s="20"/>
      <c r="C8" s="21"/>
      <c r="D8" s="21"/>
      <c r="E8" s="22"/>
      <c r="F8" s="22"/>
      <c r="G8" s="22"/>
      <c r="H8" s="20"/>
      <c r="I8" s="21"/>
      <c r="J8" s="21"/>
      <c r="K8" s="21"/>
      <c r="L8" s="22" t="s">
        <v>2</v>
      </c>
      <c r="M8" s="22"/>
      <c r="N8" s="22"/>
      <c r="O8" s="22"/>
      <c r="P8" s="22"/>
      <c r="Q8" s="22"/>
      <c r="R8" s="22"/>
      <c r="S8" s="22"/>
      <c r="T8" s="22"/>
      <c r="U8" s="22"/>
      <c r="V8" s="20"/>
      <c r="W8" s="22"/>
      <c r="X8" s="22"/>
      <c r="Y8" s="22"/>
      <c r="Z8" s="22"/>
      <c r="AA8" s="22"/>
      <c r="AB8" s="22"/>
      <c r="AC8" s="21"/>
      <c r="AD8" s="21"/>
      <c r="AE8" s="21"/>
      <c r="AF8" s="21"/>
      <c r="AG8" s="21"/>
      <c r="AH8" s="21"/>
      <c r="AI8" s="21"/>
      <c r="AJ8" s="21"/>
      <c r="AK8" s="21"/>
      <c r="AL8" s="21"/>
      <c r="AM8" s="108"/>
      <c r="AN8" s="21"/>
      <c r="AO8" s="21"/>
      <c r="AP8" s="21"/>
      <c r="AQ8" s="21"/>
      <c r="AR8" s="21"/>
      <c r="AS8" s="21"/>
      <c r="AT8" s="21"/>
      <c r="AU8" s="21"/>
      <c r="AV8" s="21"/>
      <c r="AW8" s="21"/>
    </row>
    <row r="9" spans="1:51" ht="15" customHeight="1" x14ac:dyDescent="0.35">
      <c r="A9" s="19" t="s">
        <v>28</v>
      </c>
      <c r="B9" s="20" t="s">
        <v>29</v>
      </c>
      <c r="C9" s="21">
        <v>21</v>
      </c>
      <c r="D9" s="21">
        <v>2600</v>
      </c>
      <c r="E9" s="22">
        <f>C9*D9</f>
        <v>54600</v>
      </c>
      <c r="F9" s="22">
        <f>+E9*655.957</f>
        <v>35815252.200000003</v>
      </c>
      <c r="G9" s="22"/>
      <c r="H9" s="20" t="s">
        <v>29</v>
      </c>
      <c r="I9" s="21">
        <v>62</v>
      </c>
      <c r="J9" s="21">
        <f>1705548/2</f>
        <v>852774</v>
      </c>
      <c r="K9" s="21">
        <f>J9/$B$2</f>
        <v>1300.0455822561539</v>
      </c>
      <c r="L9" s="22">
        <f>+I9*J9</f>
        <v>52871988</v>
      </c>
      <c r="M9" s="22">
        <f>+L9/655.957</f>
        <v>80602.826099881553</v>
      </c>
      <c r="N9" s="67"/>
      <c r="O9" s="67">
        <f>M9</f>
        <v>80602.826099881553</v>
      </c>
      <c r="P9" s="67"/>
      <c r="Q9" s="22">
        <v>10085109</v>
      </c>
      <c r="R9" s="22">
        <f>+Q9/655.957</f>
        <v>15374.649557821625</v>
      </c>
      <c r="S9" s="22">
        <v>10233198</v>
      </c>
      <c r="T9" s="22">
        <f>+S9/655.957</f>
        <v>15600.409782958335</v>
      </c>
      <c r="U9" s="22">
        <f>Q9+S9</f>
        <v>20318307</v>
      </c>
      <c r="V9" s="20">
        <f>+U9/655.957</f>
        <v>30975.059340779961</v>
      </c>
      <c r="W9" s="22">
        <v>10232928</v>
      </c>
      <c r="X9" s="22">
        <f>+W9/655.957</f>
        <v>15599.998170611794</v>
      </c>
      <c r="Y9" s="22">
        <f>+U9+W9</f>
        <v>30551235</v>
      </c>
      <c r="Z9" s="22">
        <f>+Y9/655.957</f>
        <v>46575.057511391751</v>
      </c>
      <c r="AA9" s="22">
        <f>+L9-Y9</f>
        <v>22320753</v>
      </c>
      <c r="AB9" s="22">
        <f>+AA9/655.957</f>
        <v>34027.768588489795</v>
      </c>
      <c r="AC9" s="21"/>
      <c r="AD9" s="21">
        <f>AB9</f>
        <v>34027.768588489795</v>
      </c>
      <c r="AE9" s="21"/>
      <c r="AF9" s="81">
        <v>15600.546987073849</v>
      </c>
      <c r="AG9" s="21"/>
      <c r="AH9" s="21">
        <f>AF9</f>
        <v>15600.546987073849</v>
      </c>
      <c r="AI9" s="21"/>
      <c r="AJ9" s="21">
        <f>AB9-AF9</f>
        <v>18427.221601415946</v>
      </c>
      <c r="AK9" s="21">
        <f>AC9-AG9</f>
        <v>0</v>
      </c>
      <c r="AL9" s="21">
        <f>AD9-AH9</f>
        <v>18427.221601415946</v>
      </c>
      <c r="AM9" s="108">
        <f>AE9-AI9</f>
        <v>0</v>
      </c>
      <c r="AN9" s="21"/>
      <c r="AO9" s="21"/>
      <c r="AP9" s="21"/>
      <c r="AQ9" s="21"/>
      <c r="AR9" s="21"/>
      <c r="AS9" s="21"/>
      <c r="AT9" s="21"/>
      <c r="AU9" s="21"/>
      <c r="AV9" s="21"/>
      <c r="AW9" s="21"/>
    </row>
    <row r="10" spans="1:51" ht="15" customHeight="1" x14ac:dyDescent="0.35">
      <c r="A10" s="19" t="s">
        <v>30</v>
      </c>
      <c r="B10" s="20" t="s">
        <v>29</v>
      </c>
      <c r="C10" s="21">
        <v>42</v>
      </c>
      <c r="D10" s="21">
        <v>1750</v>
      </c>
      <c r="E10" s="22">
        <f>C10*D10</f>
        <v>73500</v>
      </c>
      <c r="F10" s="22">
        <f t="shared" ref="F10:F119" si="0">+E10*655.957</f>
        <v>48212839.5</v>
      </c>
      <c r="G10" s="22"/>
      <c r="H10" s="20" t="s">
        <v>29</v>
      </c>
      <c r="I10" s="21">
        <v>62</v>
      </c>
      <c r="J10" s="21">
        <v>1147925</v>
      </c>
      <c r="K10" s="21">
        <f>J10/$B$2</f>
        <v>1750.0003811225431</v>
      </c>
      <c r="L10" s="22">
        <f t="shared" ref="L10:L13" si="1">+I10*J10</f>
        <v>71171350</v>
      </c>
      <c r="M10" s="22">
        <f t="shared" ref="M10:M12" si="2">+L10/655.957</f>
        <v>108500.02362959768</v>
      </c>
      <c r="N10" s="67"/>
      <c r="O10" s="67">
        <f>M10</f>
        <v>108500.02362959768</v>
      </c>
      <c r="P10" s="67"/>
      <c r="Q10" s="22">
        <v>14801084</v>
      </c>
      <c r="R10" s="22">
        <f t="shared" ref="R10:R13" si="3">+Q10/655.957</f>
        <v>22564.10709848359</v>
      </c>
      <c r="S10" s="22">
        <v>13637835</v>
      </c>
      <c r="T10" s="22">
        <f t="shared" ref="T10:T13" si="4">+S10/655.957</f>
        <v>20790.745429959585</v>
      </c>
      <c r="U10" s="22">
        <f t="shared" ref="U10:U13" si="5">Q10+S10</f>
        <v>28438919</v>
      </c>
      <c r="V10" s="20">
        <f t="shared" ref="V10:V13" si="6">+U10/655.957</f>
        <v>43354.852528443174</v>
      </c>
      <c r="W10" s="22">
        <v>13886564</v>
      </c>
      <c r="X10" s="22">
        <f t="shared" ref="X10:Z13" si="7">+W10/655.957</f>
        <v>21169.930346044024</v>
      </c>
      <c r="Y10" s="22">
        <f>+U10+W10</f>
        <v>42325483</v>
      </c>
      <c r="Z10" s="22">
        <f t="shared" si="7"/>
        <v>64524.782874487202</v>
      </c>
      <c r="AA10" s="22">
        <f>+L10-Y10</f>
        <v>28845867</v>
      </c>
      <c r="AB10" s="22">
        <f t="shared" ref="AB10:AB13" si="8">+AA10/655.957</f>
        <v>43975.24075511047</v>
      </c>
      <c r="AC10" s="21"/>
      <c r="AD10" s="21">
        <f t="shared" ref="AD10:AD12" si="9">AB10</f>
        <v>43975.24075511047</v>
      </c>
      <c r="AE10" s="21"/>
      <c r="AF10" s="81">
        <v>21000.004573470516</v>
      </c>
      <c r="AG10" s="21"/>
      <c r="AH10" s="21">
        <f>AF10</f>
        <v>21000.004573470516</v>
      </c>
      <c r="AI10" s="21"/>
      <c r="AJ10" s="21">
        <f>AB10-AF10</f>
        <v>22975.236181639953</v>
      </c>
      <c r="AK10" s="21">
        <f t="shared" ref="AK10:AK13" si="10">AC10-AG10</f>
        <v>0</v>
      </c>
      <c r="AL10" s="21">
        <f t="shared" ref="AL10:AL13" si="11">AD10-AH10</f>
        <v>22975.236181639953</v>
      </c>
      <c r="AM10" s="108">
        <f t="shared" ref="AM10:AM13" si="12">AE10-AI10</f>
        <v>0</v>
      </c>
      <c r="AN10" s="21"/>
      <c r="AO10" s="21"/>
      <c r="AP10" s="21"/>
      <c r="AQ10" s="21"/>
      <c r="AR10" s="21"/>
      <c r="AS10" s="21"/>
      <c r="AT10" s="21"/>
      <c r="AU10" s="21"/>
      <c r="AV10" s="21"/>
      <c r="AW10" s="21"/>
    </row>
    <row r="11" spans="1:51" ht="15" customHeight="1" x14ac:dyDescent="0.35">
      <c r="A11" s="19" t="s">
        <v>31</v>
      </c>
      <c r="B11" s="20" t="s">
        <v>29</v>
      </c>
      <c r="C11" s="21">
        <v>21</v>
      </c>
      <c r="D11" s="21">
        <v>2050</v>
      </c>
      <c r="E11" s="22">
        <f>C11*D11</f>
        <v>43050</v>
      </c>
      <c r="F11" s="22">
        <f t="shared" si="0"/>
        <v>28238948.850000001</v>
      </c>
      <c r="G11" s="22"/>
      <c r="H11" s="20" t="s">
        <v>29</v>
      </c>
      <c r="I11" s="21">
        <v>62</v>
      </c>
      <c r="J11" s="21">
        <f>1344712/2</f>
        <v>672356</v>
      </c>
      <c r="K11" s="21">
        <f>J11/$B$2</f>
        <v>1025.0001143367629</v>
      </c>
      <c r="L11" s="22">
        <f t="shared" si="1"/>
        <v>41686072</v>
      </c>
      <c r="M11" s="22">
        <f>+L11/655.957</f>
        <v>63550.007088879305</v>
      </c>
      <c r="N11" s="67"/>
      <c r="O11" s="67">
        <f>M11</f>
        <v>63550.007088879305</v>
      </c>
      <c r="P11" s="67"/>
      <c r="Q11" s="22">
        <v>8068012</v>
      </c>
      <c r="R11" s="22">
        <f t="shared" si="3"/>
        <v>12299.605004596338</v>
      </c>
      <c r="S11" s="22">
        <v>8067996</v>
      </c>
      <c r="T11" s="22">
        <f t="shared" si="4"/>
        <v>12299.58061275358</v>
      </c>
      <c r="U11" s="22">
        <f t="shared" si="5"/>
        <v>16136008</v>
      </c>
      <c r="V11" s="20">
        <f t="shared" si="6"/>
        <v>24599.185617349918</v>
      </c>
      <c r="W11" s="22">
        <v>8067996</v>
      </c>
      <c r="X11" s="22">
        <f t="shared" si="7"/>
        <v>12299.58061275358</v>
      </c>
      <c r="Y11" s="22">
        <f>+U11+W11</f>
        <v>24204004</v>
      </c>
      <c r="Z11" s="22">
        <f t="shared" si="7"/>
        <v>36898.766230103502</v>
      </c>
      <c r="AA11" s="22">
        <f>+L11-Y11</f>
        <v>17482068</v>
      </c>
      <c r="AB11" s="22">
        <f t="shared" si="8"/>
        <v>26651.240858775804</v>
      </c>
      <c r="AC11" s="21"/>
      <c r="AD11" s="21">
        <f t="shared" si="9"/>
        <v>26651.240858775804</v>
      </c>
      <c r="AE11" s="21"/>
      <c r="AF11" s="81">
        <v>12300.001372041155</v>
      </c>
      <c r="AG11" s="21"/>
      <c r="AH11" s="21">
        <f>AF11</f>
        <v>12300.001372041155</v>
      </c>
      <c r="AI11" s="21"/>
      <c r="AJ11" s="21">
        <f>AB11-AF11</f>
        <v>14351.239486734648</v>
      </c>
      <c r="AK11" s="21">
        <f t="shared" si="10"/>
        <v>0</v>
      </c>
      <c r="AL11" s="21">
        <f t="shared" si="11"/>
        <v>14351.239486734648</v>
      </c>
      <c r="AM11" s="108">
        <f t="shared" si="12"/>
        <v>0</v>
      </c>
      <c r="AN11" s="21"/>
      <c r="AO11" s="21"/>
      <c r="AP11" s="21"/>
      <c r="AQ11" s="21"/>
      <c r="AR11" s="21"/>
      <c r="AS11" s="21"/>
      <c r="AT11" s="21"/>
      <c r="AU11" s="21"/>
      <c r="AV11" s="21"/>
      <c r="AW11" s="21"/>
    </row>
    <row r="12" spans="1:51" ht="15" customHeight="1" x14ac:dyDescent="0.35">
      <c r="A12" s="19" t="s">
        <v>32</v>
      </c>
      <c r="B12" s="20" t="s">
        <v>29</v>
      </c>
      <c r="C12" s="21"/>
      <c r="D12" s="21"/>
      <c r="E12" s="22"/>
      <c r="F12" s="22"/>
      <c r="G12" s="22"/>
      <c r="H12" s="20" t="s">
        <v>29</v>
      </c>
      <c r="I12" s="21">
        <v>62</v>
      </c>
      <c r="J12" s="21">
        <v>229585</v>
      </c>
      <c r="K12" s="21">
        <f>J12/$B$2</f>
        <v>350.00007622450863</v>
      </c>
      <c r="L12" s="22">
        <f t="shared" si="1"/>
        <v>14234270</v>
      </c>
      <c r="M12" s="22">
        <f t="shared" si="2"/>
        <v>21700.004725919534</v>
      </c>
      <c r="N12" s="67"/>
      <c r="O12" s="67">
        <f>M12</f>
        <v>21700.004725919534</v>
      </c>
      <c r="P12" s="67"/>
      <c r="Q12" s="22">
        <v>1444771</v>
      </c>
      <c r="R12" s="22">
        <f t="shared" si="3"/>
        <v>2202.5391908311062</v>
      </c>
      <c r="S12" s="22">
        <v>1928520</v>
      </c>
      <c r="T12" s="22">
        <f t="shared" si="4"/>
        <v>2940.0097872269066</v>
      </c>
      <c r="U12" s="22">
        <f t="shared" si="5"/>
        <v>3373291</v>
      </c>
      <c r="V12" s="20">
        <f t="shared" si="6"/>
        <v>5142.5489780580128</v>
      </c>
      <c r="W12" s="22">
        <v>2685680</v>
      </c>
      <c r="X12" s="22">
        <f t="shared" si="7"/>
        <v>4094.2927661416829</v>
      </c>
      <c r="Y12" s="22">
        <f>+U12+W12</f>
        <v>6058971</v>
      </c>
      <c r="Z12" s="22">
        <f t="shared" si="7"/>
        <v>9236.8417441996953</v>
      </c>
      <c r="AA12" s="22">
        <f>+L12-Y12</f>
        <v>8175299</v>
      </c>
      <c r="AB12" s="22">
        <f t="shared" si="8"/>
        <v>12463.162981719839</v>
      </c>
      <c r="AC12" s="21"/>
      <c r="AD12" s="21">
        <f t="shared" si="9"/>
        <v>12463.162981719839</v>
      </c>
      <c r="AE12" s="21"/>
      <c r="AF12" s="81">
        <v>4200.0009146941038</v>
      </c>
      <c r="AG12" s="21"/>
      <c r="AH12" s="21">
        <f>AF12</f>
        <v>4200.0009146941038</v>
      </c>
      <c r="AI12" s="21"/>
      <c r="AJ12" s="23">
        <f>AB12-AF12</f>
        <v>8263.1620670257362</v>
      </c>
      <c r="AK12" s="23">
        <f t="shared" si="10"/>
        <v>0</v>
      </c>
      <c r="AL12" s="23">
        <f t="shared" si="11"/>
        <v>8263.1620670257362</v>
      </c>
      <c r="AM12" s="109">
        <f t="shared" si="12"/>
        <v>0</v>
      </c>
      <c r="AN12" s="23"/>
      <c r="AO12" s="23"/>
      <c r="AP12" s="23"/>
      <c r="AQ12" s="23"/>
      <c r="AR12" s="21"/>
      <c r="AS12" s="21"/>
      <c r="AT12" s="21"/>
      <c r="AU12" s="21"/>
      <c r="AV12" s="21"/>
      <c r="AW12" s="21"/>
    </row>
    <row r="13" spans="1:51" ht="15" customHeight="1" x14ac:dyDescent="0.35">
      <c r="A13" s="19" t="s">
        <v>33</v>
      </c>
      <c r="B13" s="20" t="s">
        <v>29</v>
      </c>
      <c r="C13" s="21">
        <v>12</v>
      </c>
      <c r="D13" s="21">
        <v>840</v>
      </c>
      <c r="E13" s="22">
        <f>C13*D13</f>
        <v>10080</v>
      </c>
      <c r="F13" s="22">
        <f>+E13*655.957</f>
        <v>6612046.5599999996</v>
      </c>
      <c r="G13" s="22"/>
      <c r="H13" s="20" t="s">
        <v>34</v>
      </c>
      <c r="I13" s="21">
        <v>62</v>
      </c>
      <c r="J13" s="21">
        <v>551004</v>
      </c>
      <c r="K13" s="21">
        <f>60*8</f>
        <v>480</v>
      </c>
      <c r="L13" s="22">
        <f t="shared" si="1"/>
        <v>34162248</v>
      </c>
      <c r="M13" s="22">
        <f>+L13/655.957</f>
        <v>52080.011342206883</v>
      </c>
      <c r="N13" s="67">
        <f>M13</f>
        <v>52080.011342206883</v>
      </c>
      <c r="O13" s="67"/>
      <c r="P13" s="67"/>
      <c r="Q13" s="22">
        <v>1574297</v>
      </c>
      <c r="R13" s="22">
        <f t="shared" si="3"/>
        <v>2400.0003048980343</v>
      </c>
      <c r="S13" s="22">
        <v>5368352</v>
      </c>
      <c r="T13" s="22">
        <f t="shared" si="4"/>
        <v>8183.9998658448649</v>
      </c>
      <c r="U13" s="22">
        <f t="shared" si="5"/>
        <v>6942649</v>
      </c>
      <c r="V13" s="20">
        <f t="shared" si="6"/>
        <v>10584.0001707429</v>
      </c>
      <c r="W13" s="23">
        <f>141/8*J13</f>
        <v>9711445.5</v>
      </c>
      <c r="X13" s="22">
        <f t="shared" si="7"/>
        <v>14805.003224296715</v>
      </c>
      <c r="Y13" s="22">
        <f>+U13+W13</f>
        <v>16654094.5</v>
      </c>
      <c r="Z13" s="22">
        <f t="shared" si="7"/>
        <v>25389.003395039614</v>
      </c>
      <c r="AA13" s="22">
        <f>+L13-Y13</f>
        <v>17508153.5</v>
      </c>
      <c r="AB13" s="22">
        <f t="shared" si="8"/>
        <v>26691.007947167269</v>
      </c>
      <c r="AC13" s="21">
        <f>AB13</f>
        <v>26691.007947167269</v>
      </c>
      <c r="AD13" s="21"/>
      <c r="AE13" s="21"/>
      <c r="AF13" s="81">
        <v>10080.002195265848</v>
      </c>
      <c r="AG13" s="21">
        <f>AF13</f>
        <v>10080.002195265848</v>
      </c>
      <c r="AH13" s="21"/>
      <c r="AI13" s="21"/>
      <c r="AJ13" s="23">
        <f>AB13-AF13</f>
        <v>16611.005751901423</v>
      </c>
      <c r="AK13" s="23">
        <f t="shared" si="10"/>
        <v>16611.005751901423</v>
      </c>
      <c r="AL13" s="23">
        <f t="shared" si="11"/>
        <v>0</v>
      </c>
      <c r="AM13" s="109">
        <f t="shared" si="12"/>
        <v>0</v>
      </c>
      <c r="AN13" s="20" t="s">
        <v>34</v>
      </c>
      <c r="AO13" s="21">
        <v>28</v>
      </c>
      <c r="AP13" s="21">
        <f>AQ13*655.957</f>
        <v>314859.36</v>
      </c>
      <c r="AQ13" s="21">
        <f>60*8</f>
        <v>480</v>
      </c>
      <c r="AR13" s="22">
        <f t="shared" ref="AR13" si="13">+AO13*AP13</f>
        <v>8816062.0800000001</v>
      </c>
      <c r="AS13" s="22">
        <f>AO13*AQ13</f>
        <v>13440</v>
      </c>
      <c r="AT13" s="21"/>
      <c r="AU13" s="21"/>
      <c r="AV13" s="21"/>
      <c r="AW13" s="21"/>
    </row>
    <row r="14" spans="1:51" ht="15" customHeight="1" x14ac:dyDescent="0.35">
      <c r="A14" s="24" t="s">
        <v>35</v>
      </c>
      <c r="B14" s="25"/>
      <c r="C14" s="26"/>
      <c r="D14" s="26"/>
      <c r="E14" s="27">
        <f>SUM(E9:E13)</f>
        <v>181230</v>
      </c>
      <c r="F14" s="27">
        <f>SUM(F9:F13)</f>
        <v>118879087.11000001</v>
      </c>
      <c r="G14" s="28">
        <f>F14/$F$159</f>
        <v>0.16609369131904037</v>
      </c>
      <c r="H14" s="25"/>
      <c r="I14" s="25"/>
      <c r="J14" s="25"/>
      <c r="K14" s="25"/>
      <c r="L14" s="27">
        <f t="shared" ref="L14" si="14">SUM(L9:L13)</f>
        <v>214125928</v>
      </c>
      <c r="M14" s="27">
        <f>SUM(M9:M13)</f>
        <v>326432.87288648495</v>
      </c>
      <c r="N14" s="68">
        <f t="shared" ref="N14:P14" si="15">SUM(N9:N13)</f>
        <v>52080.011342206883</v>
      </c>
      <c r="O14" s="68">
        <f t="shared" si="15"/>
        <v>274352.86154427804</v>
      </c>
      <c r="P14" s="68">
        <f t="shared" si="15"/>
        <v>0</v>
      </c>
      <c r="Q14" s="27">
        <f>SUM(Q9:Q13)</f>
        <v>35973273</v>
      </c>
      <c r="R14" s="27">
        <f t="shared" ref="R14:AM14" si="16">SUM(R9:R13)</f>
        <v>54840.901156630702</v>
      </c>
      <c r="S14" s="27">
        <f t="shared" si="16"/>
        <v>39235901</v>
      </c>
      <c r="T14" s="27">
        <f t="shared" si="16"/>
        <v>59814.745478743265</v>
      </c>
      <c r="U14" s="27">
        <f t="shared" si="16"/>
        <v>75209174</v>
      </c>
      <c r="V14" s="27">
        <f t="shared" si="16"/>
        <v>114655.64663537398</v>
      </c>
      <c r="W14" s="27">
        <f>SUM(W9:W13)</f>
        <v>44584613.5</v>
      </c>
      <c r="X14" s="27">
        <f t="shared" si="16"/>
        <v>67968.805119847806</v>
      </c>
      <c r="Y14" s="27">
        <f>SUM(Y9:Y13)</f>
        <v>119793787.5</v>
      </c>
      <c r="Z14" s="27">
        <f>SUM(Z9:Z13)</f>
        <v>182624.45175522176</v>
      </c>
      <c r="AA14" s="27">
        <f>SUM(AA9:AA13)</f>
        <v>94332140.5</v>
      </c>
      <c r="AB14" s="27">
        <f t="shared" si="16"/>
        <v>143808.4211312632</v>
      </c>
      <c r="AC14" s="27">
        <f t="shared" si="16"/>
        <v>26691.007947167269</v>
      </c>
      <c r="AD14" s="27">
        <f t="shared" si="16"/>
        <v>117117.41318409592</v>
      </c>
      <c r="AE14" s="27">
        <f t="shared" si="16"/>
        <v>0</v>
      </c>
      <c r="AF14" s="82">
        <v>63180.556042545468</v>
      </c>
      <c r="AG14" s="27">
        <f t="shared" si="16"/>
        <v>10080.002195265848</v>
      </c>
      <c r="AH14" s="27">
        <f t="shared" si="16"/>
        <v>53100.553847279618</v>
      </c>
      <c r="AI14" s="27">
        <f t="shared" si="16"/>
        <v>0</v>
      </c>
      <c r="AJ14" s="27">
        <f t="shared" si="16"/>
        <v>80627.865088717706</v>
      </c>
      <c r="AK14" s="27">
        <f t="shared" si="16"/>
        <v>16611.005751901423</v>
      </c>
      <c r="AL14" s="27">
        <f t="shared" si="16"/>
        <v>64016.859336816284</v>
      </c>
      <c r="AM14" s="110">
        <f t="shared" si="16"/>
        <v>0</v>
      </c>
      <c r="AN14" s="27"/>
      <c r="AO14" s="27"/>
      <c r="AP14" s="27"/>
      <c r="AQ14" s="27"/>
      <c r="AR14" s="27">
        <f t="shared" ref="AR14:AW14" si="17">SUM(AR9:AR13)</f>
        <v>8816062.0800000001</v>
      </c>
      <c r="AS14" s="27">
        <f t="shared" si="17"/>
        <v>13440</v>
      </c>
      <c r="AT14" s="27">
        <f t="shared" si="17"/>
        <v>0</v>
      </c>
      <c r="AU14" s="27">
        <f t="shared" si="17"/>
        <v>0</v>
      </c>
      <c r="AV14" s="27">
        <f t="shared" si="17"/>
        <v>0</v>
      </c>
      <c r="AW14" s="27">
        <f t="shared" si="17"/>
        <v>0</v>
      </c>
    </row>
    <row r="15" spans="1:51" ht="15" customHeight="1" x14ac:dyDescent="0.35">
      <c r="A15" s="9" t="s">
        <v>36</v>
      </c>
      <c r="B15" s="20"/>
      <c r="C15" s="21"/>
      <c r="D15" s="21"/>
      <c r="E15" s="22"/>
      <c r="F15" s="22">
        <f t="shared" si="0"/>
        <v>0</v>
      </c>
      <c r="G15" s="22"/>
      <c r="H15" s="20"/>
      <c r="I15" s="21"/>
      <c r="J15" s="21"/>
      <c r="K15" s="21"/>
      <c r="L15" s="22"/>
      <c r="M15" s="22"/>
      <c r="N15" s="67"/>
      <c r="O15" s="67"/>
      <c r="P15" s="67"/>
      <c r="Q15" s="22"/>
      <c r="R15" s="22"/>
      <c r="S15" s="22"/>
      <c r="T15" s="22"/>
      <c r="U15" s="22"/>
      <c r="V15" s="20"/>
      <c r="W15" s="22"/>
      <c r="X15" s="22"/>
      <c r="Y15" s="39">
        <f>Y14+AA14</f>
        <v>214125928</v>
      </c>
      <c r="Z15" s="22"/>
      <c r="AA15" s="22"/>
      <c r="AB15" s="22"/>
      <c r="AC15" s="21"/>
      <c r="AD15" s="21"/>
      <c r="AE15" s="21"/>
      <c r="AF15" s="81"/>
      <c r="AG15" s="21"/>
      <c r="AH15" s="21"/>
      <c r="AI15" s="21"/>
      <c r="AJ15" s="21"/>
      <c r="AK15" s="21"/>
      <c r="AL15" s="21"/>
      <c r="AM15" s="108"/>
      <c r="AN15" s="21"/>
      <c r="AO15" s="21"/>
      <c r="AP15" s="21"/>
      <c r="AQ15" s="21"/>
      <c r="AR15" s="21"/>
      <c r="AS15" s="21"/>
      <c r="AT15" s="21"/>
      <c r="AU15" s="21"/>
      <c r="AV15" s="21"/>
      <c r="AW15" s="21"/>
    </row>
    <row r="16" spans="1:51" ht="30" customHeight="1" x14ac:dyDescent="0.35">
      <c r="A16" s="19" t="s">
        <v>37</v>
      </c>
      <c r="B16" s="20"/>
      <c r="C16" s="21"/>
      <c r="D16" s="21"/>
      <c r="E16" s="22"/>
      <c r="F16" s="22">
        <f t="shared" si="0"/>
        <v>0</v>
      </c>
      <c r="G16" s="22"/>
      <c r="H16" s="20"/>
      <c r="I16" s="21"/>
      <c r="J16" s="21" t="s">
        <v>2</v>
      </c>
      <c r="K16" s="21"/>
      <c r="L16" s="22"/>
      <c r="M16" s="22"/>
      <c r="N16" s="67"/>
      <c r="O16" s="67"/>
      <c r="P16" s="67"/>
      <c r="Q16" s="22"/>
      <c r="R16" s="22"/>
      <c r="S16" s="22"/>
      <c r="T16" s="22"/>
      <c r="U16" s="22"/>
      <c r="V16" s="20"/>
      <c r="W16" s="22"/>
      <c r="X16" s="22"/>
      <c r="Y16" s="22"/>
      <c r="Z16" s="22"/>
      <c r="AA16" s="22"/>
      <c r="AB16" s="22"/>
      <c r="AC16" s="21"/>
      <c r="AD16" s="21"/>
      <c r="AE16" s="21"/>
      <c r="AF16" s="81"/>
      <c r="AG16" s="21"/>
      <c r="AH16" s="21"/>
      <c r="AI16" s="21"/>
      <c r="AJ16" s="21"/>
      <c r="AK16" s="21"/>
      <c r="AL16" s="21"/>
      <c r="AM16" s="108"/>
      <c r="AN16" s="21"/>
      <c r="AO16" s="21"/>
      <c r="AP16" s="21"/>
      <c r="AQ16" s="21"/>
      <c r="AR16" s="21"/>
      <c r="AS16" s="21"/>
      <c r="AT16" s="21"/>
      <c r="AU16" s="21"/>
      <c r="AV16" s="21"/>
      <c r="AW16" s="21"/>
    </row>
    <row r="17" spans="1:49" ht="15" customHeight="1" x14ac:dyDescent="0.35">
      <c r="A17" s="19" t="s">
        <v>38</v>
      </c>
      <c r="B17" s="20" t="s">
        <v>29</v>
      </c>
      <c r="C17" s="21">
        <f>42*0.15</f>
        <v>6.3</v>
      </c>
      <c r="D17" s="21">
        <v>2600</v>
      </c>
      <c r="E17" s="22">
        <f>C17*D17</f>
        <v>16380</v>
      </c>
      <c r="F17" s="22">
        <f t="shared" si="0"/>
        <v>10744575.66</v>
      </c>
      <c r="G17" s="22"/>
      <c r="H17" s="20" t="s">
        <v>29</v>
      </c>
      <c r="I17" s="21">
        <v>62</v>
      </c>
      <c r="J17" s="21">
        <f>1705548*15%</f>
        <v>255832.19999999998</v>
      </c>
      <c r="K17" s="21">
        <f>J17/$B$2</f>
        <v>390.01367467684616</v>
      </c>
      <c r="L17" s="22">
        <f t="shared" ref="L17:L20" si="18">+I17*J17</f>
        <v>15861596.399999999</v>
      </c>
      <c r="M17" s="22">
        <f>+L17/655.957</f>
        <v>24180.847829964463</v>
      </c>
      <c r="N17" s="67"/>
      <c r="O17" s="67"/>
      <c r="P17" s="67">
        <f>M17</f>
        <v>24180.847829964463</v>
      </c>
      <c r="Q17" s="22">
        <v>1691713</v>
      </c>
      <c r="R17" s="22">
        <f t="shared" ref="R17:R20" si="19">+Q17/655.957</f>
        <v>2578.9998429775123</v>
      </c>
      <c r="S17" s="22">
        <v>31864</v>
      </c>
      <c r="T17" s="22">
        <f t="shared" ref="T17:T20" si="20">+S17/655.957</f>
        <v>48.576354852528446</v>
      </c>
      <c r="U17" s="22">
        <f t="shared" ref="U17:U20" si="21">Q17+S17</f>
        <v>1723577</v>
      </c>
      <c r="V17" s="20">
        <f t="shared" ref="V17:V20" si="22">+U17/655.957</f>
        <v>2627.5761978300407</v>
      </c>
      <c r="W17" s="29">
        <v>3069879</v>
      </c>
      <c r="X17" s="22">
        <f t="shared" ref="X17:X20" si="23">+W17/655.957</f>
        <v>4680.0003658776413</v>
      </c>
      <c r="Y17" s="22">
        <f>+U17+W17</f>
        <v>4793456</v>
      </c>
      <c r="Z17" s="22">
        <f t="shared" ref="Z17:Z20" si="24">+Y17/655.957</f>
        <v>7307.576563707682</v>
      </c>
      <c r="AA17" s="22">
        <f>+L17-Y17</f>
        <v>11068140.399999999</v>
      </c>
      <c r="AB17" s="22">
        <f t="shared" ref="AB17:AB20" si="25">+AA17/655.957</f>
        <v>16873.271266256779</v>
      </c>
      <c r="AC17" s="21"/>
      <c r="AD17" s="21"/>
      <c r="AE17" s="21">
        <f>AB17</f>
        <v>16873.271266256779</v>
      </c>
      <c r="AF17" s="81">
        <v>4680.1640961221547</v>
      </c>
      <c r="AG17" s="21"/>
      <c r="AH17" s="21"/>
      <c r="AI17" s="21">
        <f>AF17</f>
        <v>4680.1640961221547</v>
      </c>
      <c r="AJ17" s="23">
        <f t="shared" ref="AJ17:AM19" si="26">AB17-AF17</f>
        <v>12193.107170134625</v>
      </c>
      <c r="AK17" s="23">
        <f t="shared" si="26"/>
        <v>0</v>
      </c>
      <c r="AL17" s="23">
        <f t="shared" si="26"/>
        <v>0</v>
      </c>
      <c r="AM17" s="109">
        <f t="shared" si="26"/>
        <v>12193.107170134625</v>
      </c>
      <c r="AN17" s="23"/>
      <c r="AO17" s="23"/>
      <c r="AP17" s="23"/>
      <c r="AQ17" s="23"/>
      <c r="AR17" s="21"/>
      <c r="AS17" s="21"/>
      <c r="AT17" s="21"/>
      <c r="AU17" s="21"/>
      <c r="AV17" s="21"/>
      <c r="AW17" s="21"/>
    </row>
    <row r="18" spans="1:49" ht="15" customHeight="1" x14ac:dyDescent="0.35">
      <c r="A18" s="19" t="s">
        <v>39</v>
      </c>
      <c r="B18" s="20" t="s">
        <v>29</v>
      </c>
      <c r="C18" s="21">
        <v>42</v>
      </c>
      <c r="D18" s="21">
        <v>1750</v>
      </c>
      <c r="E18" s="22">
        <f>C18*D18</f>
        <v>73500</v>
      </c>
      <c r="F18" s="22">
        <f t="shared" si="0"/>
        <v>48212839.5</v>
      </c>
      <c r="G18" s="22"/>
      <c r="H18" s="20" t="s">
        <v>29</v>
      </c>
      <c r="I18" s="21">
        <v>62</v>
      </c>
      <c r="J18" s="21">
        <v>1147925</v>
      </c>
      <c r="K18" s="21">
        <f>J18/$B$2</f>
        <v>1750.0003811225431</v>
      </c>
      <c r="L18" s="22">
        <f t="shared" si="18"/>
        <v>71171350</v>
      </c>
      <c r="M18" s="22">
        <f t="shared" ref="M18:M19" si="27">+L18/655.957</f>
        <v>108500.02362959768</v>
      </c>
      <c r="N18" s="67"/>
      <c r="O18" s="67"/>
      <c r="P18" s="67">
        <f>M18</f>
        <v>108500.02362959768</v>
      </c>
      <c r="Q18" s="22">
        <v>14839059.48</v>
      </c>
      <c r="R18" s="22">
        <f t="shared" si="19"/>
        <v>22622.000344534779</v>
      </c>
      <c r="S18" s="22">
        <v>13589925</v>
      </c>
      <c r="T18" s="22">
        <f t="shared" si="20"/>
        <v>20717.707105801142</v>
      </c>
      <c r="U18" s="22">
        <f t="shared" si="21"/>
        <v>28428984.48</v>
      </c>
      <c r="V18" s="20">
        <f t="shared" si="22"/>
        <v>43339.707450335925</v>
      </c>
      <c r="W18" s="29">
        <v>13742299</v>
      </c>
      <c r="X18" s="22">
        <f t="shared" si="23"/>
        <v>20949.999771326475</v>
      </c>
      <c r="Y18" s="22">
        <f>+U18+W18</f>
        <v>42171283.480000004</v>
      </c>
      <c r="Z18" s="22">
        <f t="shared" si="24"/>
        <v>64289.7072216624</v>
      </c>
      <c r="AA18" s="22">
        <f>+L18-Y18</f>
        <v>29000066.519999996</v>
      </c>
      <c r="AB18" s="22">
        <f t="shared" si="25"/>
        <v>44210.316407935272</v>
      </c>
      <c r="AC18" s="21"/>
      <c r="AD18" s="21"/>
      <c r="AE18" s="21">
        <f t="shared" ref="AE18:AE20" si="28">AB18</f>
        <v>44210.316407935272</v>
      </c>
      <c r="AF18" s="81">
        <v>21000.004573470516</v>
      </c>
      <c r="AG18" s="21"/>
      <c r="AH18" s="21"/>
      <c r="AI18" s="21">
        <f>AF18</f>
        <v>21000.004573470516</v>
      </c>
      <c r="AJ18" s="21">
        <f t="shared" si="26"/>
        <v>23210.311834464756</v>
      </c>
      <c r="AK18" s="21">
        <f t="shared" si="26"/>
        <v>0</v>
      </c>
      <c r="AL18" s="21">
        <f t="shared" si="26"/>
        <v>0</v>
      </c>
      <c r="AM18" s="108">
        <f t="shared" si="26"/>
        <v>23210.311834464756</v>
      </c>
      <c r="AN18" s="21"/>
      <c r="AO18" s="21"/>
      <c r="AP18" s="21"/>
      <c r="AQ18" s="21"/>
      <c r="AR18" s="21"/>
      <c r="AS18" s="21"/>
      <c r="AT18" s="21"/>
      <c r="AU18" s="21"/>
      <c r="AV18" s="21"/>
      <c r="AW18" s="21"/>
    </row>
    <row r="19" spans="1:49" ht="15" customHeight="1" x14ac:dyDescent="0.35">
      <c r="A19" s="19" t="s">
        <v>40</v>
      </c>
      <c r="B19" s="20" t="s">
        <v>29</v>
      </c>
      <c r="C19" s="21">
        <v>10.5</v>
      </c>
      <c r="D19" s="21">
        <v>2050</v>
      </c>
      <c r="E19" s="22">
        <f>C19*D19</f>
        <v>21525</v>
      </c>
      <c r="F19" s="22">
        <f t="shared" si="0"/>
        <v>14119474.425000001</v>
      </c>
      <c r="G19" s="22"/>
      <c r="H19" s="20" t="s">
        <v>29</v>
      </c>
      <c r="I19" s="21">
        <v>62</v>
      </c>
      <c r="J19" s="21">
        <f>1344712*25%</f>
        <v>336178</v>
      </c>
      <c r="K19" s="21">
        <f>J19/$B$2</f>
        <v>512.50005716838143</v>
      </c>
      <c r="L19" s="22">
        <f t="shared" si="18"/>
        <v>20843036</v>
      </c>
      <c r="M19" s="22">
        <f t="shared" si="27"/>
        <v>31775.003544439653</v>
      </c>
      <c r="N19" s="67"/>
      <c r="O19" s="67"/>
      <c r="P19" s="67">
        <f>M19</f>
        <v>31775.003544439653</v>
      </c>
      <c r="Q19" s="22">
        <v>2224350.48</v>
      </c>
      <c r="R19" s="22">
        <f t="shared" si="19"/>
        <v>3391.0004466756204</v>
      </c>
      <c r="S19" s="22">
        <v>262134</v>
      </c>
      <c r="T19" s="22">
        <f t="shared" si="20"/>
        <v>399.62070684511332</v>
      </c>
      <c r="U19" s="22">
        <f t="shared" si="21"/>
        <v>2486484.48</v>
      </c>
      <c r="V19" s="20">
        <f t="shared" si="22"/>
        <v>3790.621153520734</v>
      </c>
      <c r="W19" s="29">
        <v>4034136</v>
      </c>
      <c r="X19" s="22">
        <f t="shared" si="23"/>
        <v>6150.0006860205776</v>
      </c>
      <c r="Y19" s="22">
        <f>+U19+W19</f>
        <v>6520620.4800000004</v>
      </c>
      <c r="Z19" s="22">
        <f t="shared" si="24"/>
        <v>9940.6218395413125</v>
      </c>
      <c r="AA19" s="22">
        <f>+L19-Y19</f>
        <v>14322415.52</v>
      </c>
      <c r="AB19" s="22">
        <f t="shared" si="25"/>
        <v>21834.38170489834</v>
      </c>
      <c r="AC19" s="21"/>
      <c r="AD19" s="21"/>
      <c r="AE19" s="21">
        <f t="shared" si="28"/>
        <v>21834.38170489834</v>
      </c>
      <c r="AF19" s="81">
        <v>6150.0006860205776</v>
      </c>
      <c r="AG19" s="21"/>
      <c r="AH19" s="21"/>
      <c r="AI19" s="21">
        <f>AF19</f>
        <v>6150.0006860205776</v>
      </c>
      <c r="AJ19" s="23">
        <f t="shared" si="26"/>
        <v>15684.381018877762</v>
      </c>
      <c r="AK19" s="23">
        <f t="shared" si="26"/>
        <v>0</v>
      </c>
      <c r="AL19" s="23">
        <f t="shared" si="26"/>
        <v>0</v>
      </c>
      <c r="AM19" s="109">
        <f t="shared" si="26"/>
        <v>15684.381018877762</v>
      </c>
      <c r="AN19" s="23"/>
      <c r="AO19" s="23"/>
      <c r="AP19" s="23"/>
      <c r="AQ19" s="23"/>
      <c r="AR19" s="23"/>
      <c r="AS19" s="21"/>
      <c r="AT19" s="21"/>
      <c r="AU19" s="21"/>
      <c r="AV19" s="21"/>
      <c r="AW19" s="21"/>
    </row>
    <row r="20" spans="1:49" ht="15" customHeight="1" x14ac:dyDescent="0.35">
      <c r="A20" s="19" t="s">
        <v>41</v>
      </c>
      <c r="B20" s="20" t="s">
        <v>29</v>
      </c>
      <c r="C20" s="21">
        <f>42*0.2</f>
        <v>8.4</v>
      </c>
      <c r="D20" s="21">
        <v>1750</v>
      </c>
      <c r="E20" s="22">
        <f>C20*D20</f>
        <v>14700</v>
      </c>
      <c r="F20" s="22">
        <f t="shared" si="0"/>
        <v>9642567.9000000004</v>
      </c>
      <c r="G20" s="22"/>
      <c r="H20" s="20" t="s">
        <v>29</v>
      </c>
      <c r="I20" s="21"/>
      <c r="J20" s="21">
        <v>0</v>
      </c>
      <c r="K20" s="21"/>
      <c r="L20" s="22">
        <f t="shared" si="18"/>
        <v>0</v>
      </c>
      <c r="M20" s="22">
        <f t="shared" ref="M20" si="29">+L20*655.957</f>
        <v>0</v>
      </c>
      <c r="N20" s="67"/>
      <c r="O20" s="67"/>
      <c r="P20" s="67">
        <f>M20</f>
        <v>0</v>
      </c>
      <c r="Q20" s="22"/>
      <c r="R20" s="22">
        <f t="shared" si="19"/>
        <v>0</v>
      </c>
      <c r="S20" s="22"/>
      <c r="T20" s="22">
        <f t="shared" si="20"/>
        <v>0</v>
      </c>
      <c r="U20" s="22">
        <f t="shared" si="21"/>
        <v>0</v>
      </c>
      <c r="V20" s="20">
        <f t="shared" si="22"/>
        <v>0</v>
      </c>
      <c r="W20" s="29"/>
      <c r="X20" s="22">
        <f t="shared" si="23"/>
        <v>0</v>
      </c>
      <c r="Y20" s="22">
        <f>+U20+W20</f>
        <v>0</v>
      </c>
      <c r="Z20" s="22">
        <f t="shared" si="24"/>
        <v>0</v>
      </c>
      <c r="AA20" s="22">
        <f>+L20-Y20</f>
        <v>0</v>
      </c>
      <c r="AB20" s="22">
        <f t="shared" si="25"/>
        <v>0</v>
      </c>
      <c r="AC20" s="21"/>
      <c r="AD20" s="21"/>
      <c r="AE20" s="21">
        <f t="shared" si="28"/>
        <v>0</v>
      </c>
      <c r="AF20" s="81"/>
      <c r="AG20" s="21"/>
      <c r="AH20" s="21"/>
      <c r="AI20" s="21"/>
      <c r="AJ20" s="21"/>
      <c r="AK20" s="21"/>
      <c r="AL20" s="21"/>
      <c r="AM20" s="108"/>
      <c r="AN20" s="21"/>
      <c r="AO20" s="21"/>
      <c r="AP20" s="21"/>
      <c r="AQ20" s="21"/>
      <c r="AR20" s="21"/>
      <c r="AS20" s="21"/>
      <c r="AT20" s="21"/>
      <c r="AU20" s="21"/>
      <c r="AV20" s="21"/>
      <c r="AW20" s="21"/>
    </row>
    <row r="21" spans="1:49" ht="15" customHeight="1" x14ac:dyDescent="0.35">
      <c r="A21" s="24" t="s">
        <v>42</v>
      </c>
      <c r="B21" s="25"/>
      <c r="C21" s="26"/>
      <c r="D21" s="26"/>
      <c r="E21" s="27">
        <f>SUM(E17:E20)</f>
        <v>126105</v>
      </c>
      <c r="F21" s="27">
        <f>+E21*655.957</f>
        <v>82719457.484999999</v>
      </c>
      <c r="G21" s="28">
        <f>F21/$F$159</f>
        <v>0.11557272495606458</v>
      </c>
      <c r="H21" s="25"/>
      <c r="I21" s="26"/>
      <c r="J21" s="26"/>
      <c r="K21" s="26"/>
      <c r="L21" s="27">
        <f>SUM(L17:L20)</f>
        <v>107875982.40000001</v>
      </c>
      <c r="M21" s="27">
        <f>SUM(M17:M20)</f>
        <v>164455.87500400181</v>
      </c>
      <c r="N21" s="68">
        <f t="shared" ref="N21:O21" si="30">SUM(N17:N20)</f>
        <v>0</v>
      </c>
      <c r="O21" s="68">
        <f t="shared" si="30"/>
        <v>0</v>
      </c>
      <c r="P21" s="68">
        <f>SUM(P17:P20)</f>
        <v>164455.87500400181</v>
      </c>
      <c r="Q21" s="27">
        <f>SUM(Q17:Q20)</f>
        <v>18755122.960000001</v>
      </c>
      <c r="R21" s="27">
        <f t="shared" ref="R21:AB21" si="31">SUM(R17:R20)</f>
        <v>28592.000634187913</v>
      </c>
      <c r="S21" s="27">
        <f t="shared" si="31"/>
        <v>13883923</v>
      </c>
      <c r="T21" s="27">
        <f t="shared" si="31"/>
        <v>21165.904167498786</v>
      </c>
      <c r="U21" s="27">
        <f t="shared" si="31"/>
        <v>32639045.960000001</v>
      </c>
      <c r="V21" s="27">
        <f t="shared" si="31"/>
        <v>49757.904801686702</v>
      </c>
      <c r="W21" s="27">
        <f t="shared" si="31"/>
        <v>20846314</v>
      </c>
      <c r="X21" s="27">
        <f t="shared" si="31"/>
        <v>31780.000823224691</v>
      </c>
      <c r="Y21" s="27">
        <f t="shared" si="31"/>
        <v>53485359.960000008</v>
      </c>
      <c r="Z21" s="27">
        <f t="shared" si="31"/>
        <v>81537.905624911393</v>
      </c>
      <c r="AA21" s="27">
        <f>SUM(AA17:AA20)</f>
        <v>54390622.439999998</v>
      </c>
      <c r="AB21" s="27">
        <f t="shared" si="31"/>
        <v>82917.969379090384</v>
      </c>
      <c r="AC21" s="27">
        <f t="shared" ref="AC21:AM21" si="32">SUM(AC17:AC20)</f>
        <v>0</v>
      </c>
      <c r="AD21" s="27">
        <f t="shared" si="32"/>
        <v>0</v>
      </c>
      <c r="AE21" s="27">
        <f t="shared" si="32"/>
        <v>82917.969379090384</v>
      </c>
      <c r="AF21" s="82">
        <v>31830.169355613245</v>
      </c>
      <c r="AG21" s="27">
        <f t="shared" si="32"/>
        <v>0</v>
      </c>
      <c r="AH21" s="27">
        <f t="shared" si="32"/>
        <v>0</v>
      </c>
      <c r="AI21" s="27">
        <f t="shared" si="32"/>
        <v>31830.169355613245</v>
      </c>
      <c r="AJ21" s="27">
        <f t="shared" si="32"/>
        <v>51087.800023477146</v>
      </c>
      <c r="AK21" s="27">
        <f t="shared" si="32"/>
        <v>0</v>
      </c>
      <c r="AL21" s="27">
        <f t="shared" si="32"/>
        <v>0</v>
      </c>
      <c r="AM21" s="110">
        <f t="shared" si="32"/>
        <v>51087.800023477146</v>
      </c>
      <c r="AN21" s="110"/>
      <c r="AO21" s="110"/>
      <c r="AP21" s="110"/>
      <c r="AQ21" s="110"/>
      <c r="AR21" s="110">
        <f t="shared" ref="AR21:AW21" si="33">SUM(AR17:AR20)</f>
        <v>0</v>
      </c>
      <c r="AS21" s="110">
        <f t="shared" si="33"/>
        <v>0</v>
      </c>
      <c r="AT21" s="110">
        <f t="shared" si="33"/>
        <v>0</v>
      </c>
      <c r="AU21" s="110">
        <f t="shared" si="33"/>
        <v>0</v>
      </c>
      <c r="AV21" s="110">
        <f t="shared" si="33"/>
        <v>0</v>
      </c>
      <c r="AW21" s="110">
        <f t="shared" si="33"/>
        <v>0</v>
      </c>
    </row>
    <row r="22" spans="1:49" ht="15" customHeight="1" collapsed="1" x14ac:dyDescent="0.35">
      <c r="A22" s="24" t="s">
        <v>43</v>
      </c>
      <c r="B22" s="25"/>
      <c r="C22" s="26"/>
      <c r="D22" s="26"/>
      <c r="E22" s="27">
        <f>E14+E21</f>
        <v>307335</v>
      </c>
      <c r="F22" s="27">
        <f t="shared" si="0"/>
        <v>201598544.595</v>
      </c>
      <c r="G22" s="28">
        <f>F22/$F$159</f>
        <v>0.28166641627510491</v>
      </c>
      <c r="H22" s="25"/>
      <c r="I22" s="26"/>
      <c r="J22" s="26"/>
      <c r="K22" s="26"/>
      <c r="L22" s="27">
        <f>L14+L21</f>
        <v>322001910.39999998</v>
      </c>
      <c r="M22" s="27">
        <f>M14+M21</f>
        <v>490888.74789048673</v>
      </c>
      <c r="N22" s="68">
        <f t="shared" ref="N22:P22" si="34">N14+N21</f>
        <v>52080.011342206883</v>
      </c>
      <c r="O22" s="68">
        <f t="shared" si="34"/>
        <v>274352.86154427804</v>
      </c>
      <c r="P22" s="68">
        <f t="shared" si="34"/>
        <v>164455.87500400181</v>
      </c>
      <c r="Q22" s="27">
        <f>Q14+Q21</f>
        <v>54728395.960000001</v>
      </c>
      <c r="R22" s="27">
        <f t="shared" ref="R22:AB22" si="35">R14+R21</f>
        <v>83432.901790818607</v>
      </c>
      <c r="S22" s="27">
        <f t="shared" si="35"/>
        <v>53119824</v>
      </c>
      <c r="T22" s="27">
        <f t="shared" si="35"/>
        <v>80980.649646242047</v>
      </c>
      <c r="U22" s="27">
        <f t="shared" si="35"/>
        <v>107848219.96000001</v>
      </c>
      <c r="V22" s="27">
        <f t="shared" si="35"/>
        <v>164413.5514370607</v>
      </c>
      <c r="W22" s="27">
        <f t="shared" si="35"/>
        <v>65430927.5</v>
      </c>
      <c r="X22" s="27">
        <f t="shared" si="35"/>
        <v>99748.805943072497</v>
      </c>
      <c r="Y22" s="27">
        <f t="shared" si="35"/>
        <v>173279147.46000001</v>
      </c>
      <c r="Z22" s="27">
        <f t="shared" si="35"/>
        <v>264162.35738013312</v>
      </c>
      <c r="AA22" s="27">
        <f>AA14+AA21</f>
        <v>148722762.94</v>
      </c>
      <c r="AB22" s="27">
        <f t="shared" si="35"/>
        <v>226726.39051035358</v>
      </c>
      <c r="AC22" s="27">
        <f t="shared" ref="AC22:AM22" si="36">AC14+AC21</f>
        <v>26691.007947167269</v>
      </c>
      <c r="AD22" s="27">
        <f t="shared" si="36"/>
        <v>117117.41318409592</v>
      </c>
      <c r="AE22" s="27">
        <f t="shared" si="36"/>
        <v>82917.969379090384</v>
      </c>
      <c r="AF22" s="82">
        <v>95010.725398158713</v>
      </c>
      <c r="AG22" s="27">
        <f t="shared" si="36"/>
        <v>10080.002195265848</v>
      </c>
      <c r="AH22" s="27">
        <f t="shared" si="36"/>
        <v>53100.553847279618</v>
      </c>
      <c r="AI22" s="27">
        <f t="shared" si="36"/>
        <v>31830.169355613245</v>
      </c>
      <c r="AJ22" s="27">
        <f t="shared" si="36"/>
        <v>131715.66511219484</v>
      </c>
      <c r="AK22" s="27">
        <f t="shared" si="36"/>
        <v>16611.005751901423</v>
      </c>
      <c r="AL22" s="27">
        <f t="shared" si="36"/>
        <v>64016.859336816284</v>
      </c>
      <c r="AM22" s="110">
        <f t="shared" si="36"/>
        <v>51087.800023477146</v>
      </c>
      <c r="AN22" s="110"/>
      <c r="AO22" s="110"/>
      <c r="AP22" s="110"/>
      <c r="AQ22" s="110"/>
      <c r="AR22" s="110">
        <f t="shared" ref="AR22:AW22" si="37">AR14+AR21</f>
        <v>8816062.0800000001</v>
      </c>
      <c r="AS22" s="110">
        <f t="shared" si="37"/>
        <v>13440</v>
      </c>
      <c r="AT22" s="110">
        <f t="shared" si="37"/>
        <v>0</v>
      </c>
      <c r="AU22" s="110">
        <f t="shared" si="37"/>
        <v>0</v>
      </c>
      <c r="AV22" s="110">
        <f t="shared" si="37"/>
        <v>0</v>
      </c>
      <c r="AW22" s="110">
        <f t="shared" si="37"/>
        <v>0</v>
      </c>
    </row>
    <row r="23" spans="1:49" ht="15" customHeight="1" x14ac:dyDescent="0.35">
      <c r="A23" s="15" t="s">
        <v>44</v>
      </c>
      <c r="B23" s="16"/>
      <c r="C23" s="17"/>
      <c r="D23" s="17"/>
      <c r="E23" s="18"/>
      <c r="F23" s="22">
        <f t="shared" si="0"/>
        <v>0</v>
      </c>
      <c r="G23" s="22"/>
      <c r="H23" s="16"/>
      <c r="I23" s="17"/>
      <c r="J23" s="17"/>
      <c r="K23" s="17"/>
      <c r="L23" s="18"/>
      <c r="M23" s="18"/>
      <c r="N23" s="67"/>
      <c r="O23" s="67"/>
      <c r="P23" s="67"/>
      <c r="Q23" s="18"/>
      <c r="R23" s="18"/>
      <c r="S23" s="18"/>
      <c r="T23" s="18"/>
      <c r="U23" s="18"/>
      <c r="V23" s="16"/>
      <c r="W23" s="18"/>
      <c r="X23" s="18"/>
      <c r="Y23" s="39">
        <f>Y22+AA22</f>
        <v>322001910.39999998</v>
      </c>
      <c r="Z23" s="18"/>
      <c r="AA23" s="18"/>
      <c r="AB23" s="18"/>
      <c r="AC23" s="21"/>
      <c r="AD23" s="21"/>
      <c r="AE23" s="21"/>
      <c r="AF23" s="83"/>
      <c r="AG23" s="21"/>
      <c r="AH23" s="21"/>
      <c r="AI23" s="21"/>
      <c r="AJ23" s="21"/>
      <c r="AK23" s="21"/>
      <c r="AL23" s="21"/>
      <c r="AM23" s="108"/>
      <c r="AN23" s="21"/>
      <c r="AO23" s="21"/>
      <c r="AP23" s="21"/>
      <c r="AQ23" s="21"/>
      <c r="AR23" s="21"/>
      <c r="AS23" s="21"/>
      <c r="AT23" s="21"/>
      <c r="AU23" s="21"/>
      <c r="AV23" s="21"/>
      <c r="AW23" s="21"/>
    </row>
    <row r="24" spans="1:49" ht="15" customHeight="1" x14ac:dyDescent="0.35">
      <c r="A24" s="19" t="s">
        <v>45</v>
      </c>
      <c r="B24" s="20" t="s">
        <v>29</v>
      </c>
      <c r="C24" s="21">
        <v>21</v>
      </c>
      <c r="D24" s="21">
        <v>250</v>
      </c>
      <c r="E24" s="22">
        <f>C24*D24</f>
        <v>5250</v>
      </c>
      <c r="F24" s="22">
        <f>+E24*655.957</f>
        <v>3443774.25</v>
      </c>
      <c r="G24" s="22"/>
      <c r="H24" s="20" t="s">
        <v>29</v>
      </c>
      <c r="I24" s="21">
        <v>62</v>
      </c>
      <c r="J24" s="21">
        <f>81994.5*2</f>
        <v>163989</v>
      </c>
      <c r="K24" s="21">
        <f>J24/$B$2</f>
        <v>249.9996188774569</v>
      </c>
      <c r="L24" s="22">
        <f>I24*J24</f>
        <v>10167318</v>
      </c>
      <c r="M24" s="22">
        <f>+L24/655.957</f>
        <v>15499.976370402328</v>
      </c>
      <c r="N24" s="67"/>
      <c r="O24" s="67">
        <f>M24</f>
        <v>15499.976370402328</v>
      </c>
      <c r="P24" s="67"/>
      <c r="Q24" s="22">
        <v>1186600</v>
      </c>
      <c r="R24" s="22">
        <f t="shared" ref="R24:R25" si="38">+Q24/655.957</f>
        <v>1808.9600385391116</v>
      </c>
      <c r="S24" s="22">
        <v>1925000</v>
      </c>
      <c r="T24" s="22">
        <f t="shared" ref="T24:T25" si="39">+S24/655.957</f>
        <v>2934.6435818201498</v>
      </c>
      <c r="U24" s="22">
        <f t="shared" ref="U24:U25" si="40">Q24+S24</f>
        <v>3111600</v>
      </c>
      <c r="V24" s="20">
        <f t="shared" ref="V24:V25" si="41">+U24/655.957</f>
        <v>4743.6036203592612</v>
      </c>
      <c r="W24" s="22">
        <v>1840000</v>
      </c>
      <c r="X24" s="22">
        <f t="shared" ref="X24:X25" si="42">+W24/655.957</f>
        <v>2805.0619171683511</v>
      </c>
      <c r="Y24" s="22">
        <f>+U24+W24</f>
        <v>4951600</v>
      </c>
      <c r="Z24" s="22">
        <f t="shared" ref="Z24:Z25" si="43">+Y24/655.957</f>
        <v>7548.6655375276123</v>
      </c>
      <c r="AA24" s="22">
        <f>+L24-Y24</f>
        <v>5215718</v>
      </c>
      <c r="AB24" s="22">
        <f t="shared" ref="AB24:AB25" si="44">+AA24/655.957</f>
        <v>7951.3108328747157</v>
      </c>
      <c r="AC24" s="21"/>
      <c r="AD24" s="21">
        <f>AB24</f>
        <v>7951.3108328747157</v>
      </c>
      <c r="AE24" s="21"/>
      <c r="AF24" s="81">
        <v>2999.9954265294828</v>
      </c>
      <c r="AG24" s="21"/>
      <c r="AH24" s="21">
        <f>AF24</f>
        <v>2999.9954265294828</v>
      </c>
      <c r="AI24" s="21"/>
      <c r="AJ24" s="21">
        <f t="shared" ref="AJ24:AM25" si="45">AB24-AF24</f>
        <v>4951.315406345233</v>
      </c>
      <c r="AK24" s="21">
        <f t="shared" si="45"/>
        <v>0</v>
      </c>
      <c r="AL24" s="21">
        <f t="shared" si="45"/>
        <v>4951.315406345233</v>
      </c>
      <c r="AM24" s="108">
        <f t="shared" si="45"/>
        <v>0</v>
      </c>
      <c r="AN24" s="21"/>
      <c r="AO24" s="21"/>
      <c r="AP24" s="21"/>
      <c r="AQ24" s="21"/>
      <c r="AR24" s="21"/>
      <c r="AS24" s="21"/>
      <c r="AT24" s="21"/>
      <c r="AU24" s="21"/>
      <c r="AV24" s="21"/>
      <c r="AW24" s="21"/>
    </row>
    <row r="25" spans="1:49" ht="15" customHeight="1" x14ac:dyDescent="0.35">
      <c r="A25" s="19" t="s">
        <v>46</v>
      </c>
      <c r="B25" s="20" t="s">
        <v>29</v>
      </c>
      <c r="C25" s="21">
        <v>21</v>
      </c>
      <c r="D25" s="21">
        <v>250</v>
      </c>
      <c r="E25" s="22">
        <f>C25*D25</f>
        <v>5250</v>
      </c>
      <c r="F25" s="22">
        <f>+E25*655.957</f>
        <v>3443774.25</v>
      </c>
      <c r="G25" s="22"/>
      <c r="H25" s="20" t="s">
        <v>29</v>
      </c>
      <c r="I25" s="21">
        <v>62</v>
      </c>
      <c r="J25" s="21">
        <f>81994.5*2</f>
        <v>163989</v>
      </c>
      <c r="K25" s="21">
        <f>J25/$B$2</f>
        <v>249.9996188774569</v>
      </c>
      <c r="L25" s="22">
        <f>I25*J25</f>
        <v>10167318</v>
      </c>
      <c r="M25" s="22">
        <f>+L25/655.957</f>
        <v>15499.976370402328</v>
      </c>
      <c r="N25" s="67"/>
      <c r="O25" s="67"/>
      <c r="P25" s="67">
        <f>M25</f>
        <v>15499.976370402328</v>
      </c>
      <c r="Q25" s="22">
        <v>827162</v>
      </c>
      <c r="R25" s="22">
        <f t="shared" si="38"/>
        <v>1261.0003399613086</v>
      </c>
      <c r="S25" s="22">
        <v>1266791</v>
      </c>
      <c r="T25" s="22">
        <f t="shared" si="39"/>
        <v>1931.2104299519633</v>
      </c>
      <c r="U25" s="22">
        <f t="shared" si="40"/>
        <v>2093953</v>
      </c>
      <c r="V25" s="20">
        <f t="shared" si="41"/>
        <v>3192.2107699132716</v>
      </c>
      <c r="W25" s="29">
        <v>2043306</v>
      </c>
      <c r="X25" s="22">
        <f t="shared" si="42"/>
        <v>3114.9999161530404</v>
      </c>
      <c r="Y25" s="22">
        <f>+U25+W25</f>
        <v>4137259</v>
      </c>
      <c r="Z25" s="22">
        <f t="shared" si="43"/>
        <v>6307.2106860663125</v>
      </c>
      <c r="AA25" s="22">
        <f>+L25-Y25</f>
        <v>6030059</v>
      </c>
      <c r="AB25" s="22">
        <f t="shared" si="44"/>
        <v>9192.7656843360164</v>
      </c>
      <c r="AC25" s="21"/>
      <c r="AD25" s="21"/>
      <c r="AE25" s="21">
        <f>AB25</f>
        <v>9192.7656843360164</v>
      </c>
      <c r="AF25" s="81">
        <v>2999.9954265294828</v>
      </c>
      <c r="AG25" s="21"/>
      <c r="AH25" s="21"/>
      <c r="AI25" s="21">
        <f>AF25</f>
        <v>2999.9954265294828</v>
      </c>
      <c r="AJ25" s="21">
        <f t="shared" si="45"/>
        <v>6192.7702578065337</v>
      </c>
      <c r="AK25" s="21">
        <f t="shared" si="45"/>
        <v>0</v>
      </c>
      <c r="AL25" s="21">
        <f t="shared" si="45"/>
        <v>0</v>
      </c>
      <c r="AM25" s="108">
        <f t="shared" si="45"/>
        <v>6192.7702578065337</v>
      </c>
      <c r="AN25" s="21"/>
      <c r="AO25" s="21"/>
      <c r="AP25" s="21"/>
      <c r="AQ25" s="21"/>
      <c r="AR25" s="21"/>
      <c r="AS25" s="21"/>
      <c r="AT25" s="21"/>
      <c r="AU25" s="21"/>
      <c r="AV25" s="21"/>
      <c r="AW25" s="21"/>
    </row>
    <row r="26" spans="1:49" ht="15" customHeight="1" collapsed="1" x14ac:dyDescent="0.35">
      <c r="A26" s="24" t="s">
        <v>47</v>
      </c>
      <c r="B26" s="25"/>
      <c r="C26" s="25"/>
      <c r="D26" s="25"/>
      <c r="E26" s="27">
        <f>SUM(E24:E25)</f>
        <v>10500</v>
      </c>
      <c r="F26" s="27">
        <f>+E26*655.957</f>
        <v>6887548.5</v>
      </c>
      <c r="G26" s="28">
        <f>F26/$F$159</f>
        <v>9.6230412119953854E-3</v>
      </c>
      <c r="H26" s="25"/>
      <c r="I26" s="25"/>
      <c r="J26" s="25"/>
      <c r="K26" s="25"/>
      <c r="L26" s="27">
        <f>SUM(L24:L25)</f>
        <v>20334636</v>
      </c>
      <c r="M26" s="27">
        <f>SUM(M24:M25)</f>
        <v>30999.952740804656</v>
      </c>
      <c r="N26" s="68">
        <f t="shared" ref="N26:P26" si="46">SUM(N24:N25)</f>
        <v>0</v>
      </c>
      <c r="O26" s="68">
        <f t="shared" si="46"/>
        <v>15499.976370402328</v>
      </c>
      <c r="P26" s="68">
        <f t="shared" si="46"/>
        <v>15499.976370402328</v>
      </c>
      <c r="Q26" s="27">
        <f>SUM(Q24:Q25)</f>
        <v>2013762</v>
      </c>
      <c r="R26" s="27">
        <f t="shared" ref="R26:AW26" si="47">SUM(R24:R25)</f>
        <v>3069.9603785004201</v>
      </c>
      <c r="S26" s="27">
        <f t="shared" si="47"/>
        <v>3191791</v>
      </c>
      <c r="T26" s="27">
        <f t="shared" si="47"/>
        <v>4865.8540117721132</v>
      </c>
      <c r="U26" s="27">
        <f t="shared" si="47"/>
        <v>5205553</v>
      </c>
      <c r="V26" s="27">
        <f t="shared" si="47"/>
        <v>7935.8143902725333</v>
      </c>
      <c r="W26" s="27">
        <f>SUM(W24:W25)</f>
        <v>3883306</v>
      </c>
      <c r="X26" s="27">
        <f t="shared" si="47"/>
        <v>5920.0618333213915</v>
      </c>
      <c r="Y26" s="27">
        <f>SUM(Y24:Y25)</f>
        <v>9088859</v>
      </c>
      <c r="Z26" s="27">
        <f>SUM(Z24:Z25)</f>
        <v>13855.876223593925</v>
      </c>
      <c r="AA26" s="27">
        <f>SUM(AA24:AA25)</f>
        <v>11245777</v>
      </c>
      <c r="AB26" s="27">
        <f t="shared" si="47"/>
        <v>17144.076517210731</v>
      </c>
      <c r="AC26" s="27">
        <f t="shared" si="47"/>
        <v>0</v>
      </c>
      <c r="AD26" s="27">
        <f t="shared" si="47"/>
        <v>7951.3108328747157</v>
      </c>
      <c r="AE26" s="27">
        <f t="shared" si="47"/>
        <v>9192.7656843360164</v>
      </c>
      <c r="AF26" s="82">
        <v>5999.9908530589655</v>
      </c>
      <c r="AG26" s="27">
        <f t="shared" si="47"/>
        <v>0</v>
      </c>
      <c r="AH26" s="27">
        <f t="shared" si="47"/>
        <v>2999.9954265294828</v>
      </c>
      <c r="AI26" s="27">
        <f t="shared" si="47"/>
        <v>2999.9954265294828</v>
      </c>
      <c r="AJ26" s="27">
        <f t="shared" si="47"/>
        <v>11144.085664151768</v>
      </c>
      <c r="AK26" s="27">
        <f t="shared" si="47"/>
        <v>0</v>
      </c>
      <c r="AL26" s="27">
        <f t="shared" si="47"/>
        <v>4951.315406345233</v>
      </c>
      <c r="AM26" s="110">
        <f t="shared" si="47"/>
        <v>6192.7702578065337</v>
      </c>
      <c r="AN26" s="110"/>
      <c r="AO26" s="110"/>
      <c r="AP26" s="110"/>
      <c r="AQ26" s="110"/>
      <c r="AR26" s="110">
        <f t="shared" si="47"/>
        <v>0</v>
      </c>
      <c r="AS26" s="110">
        <f t="shared" si="47"/>
        <v>0</v>
      </c>
      <c r="AT26" s="110">
        <f t="shared" si="47"/>
        <v>0</v>
      </c>
      <c r="AU26" s="110">
        <f t="shared" si="47"/>
        <v>0</v>
      </c>
      <c r="AV26" s="110">
        <f t="shared" si="47"/>
        <v>0</v>
      </c>
      <c r="AW26" s="110">
        <f t="shared" si="47"/>
        <v>0</v>
      </c>
    </row>
    <row r="27" spans="1:49" ht="15" customHeight="1" x14ac:dyDescent="0.35">
      <c r="A27" s="15" t="s">
        <v>48</v>
      </c>
      <c r="B27" s="16"/>
      <c r="C27" s="17"/>
      <c r="D27" s="17"/>
      <c r="E27" s="18"/>
      <c r="F27" s="22">
        <f t="shared" si="0"/>
        <v>0</v>
      </c>
      <c r="G27" s="22"/>
      <c r="H27" s="16"/>
      <c r="I27" s="17"/>
      <c r="J27" s="17"/>
      <c r="K27" s="17"/>
      <c r="L27" s="18"/>
      <c r="M27" s="18"/>
      <c r="N27" s="67"/>
      <c r="O27" s="67"/>
      <c r="P27" s="67"/>
      <c r="Q27" s="18"/>
      <c r="R27" s="18"/>
      <c r="S27" s="18"/>
      <c r="T27" s="18"/>
      <c r="U27" s="18"/>
      <c r="V27" s="16"/>
      <c r="W27" s="18"/>
      <c r="X27" s="18"/>
      <c r="Y27" s="39">
        <f>Y26+AA26</f>
        <v>20334636</v>
      </c>
      <c r="Z27" s="18"/>
      <c r="AA27" s="18"/>
      <c r="AB27" s="18"/>
      <c r="AC27" s="21"/>
      <c r="AD27" s="21"/>
      <c r="AE27" s="21"/>
      <c r="AF27" s="83"/>
      <c r="AG27" s="21"/>
      <c r="AH27" s="21"/>
      <c r="AI27" s="21"/>
      <c r="AJ27" s="21"/>
      <c r="AK27" s="21"/>
      <c r="AL27" s="21"/>
      <c r="AM27" s="108"/>
      <c r="AN27" s="21"/>
      <c r="AO27" s="21"/>
      <c r="AP27" s="21"/>
      <c r="AQ27" s="21"/>
      <c r="AR27" s="21"/>
      <c r="AS27" s="21"/>
      <c r="AT27" s="21"/>
      <c r="AU27" s="21"/>
      <c r="AV27" s="21"/>
      <c r="AW27" s="21"/>
    </row>
    <row r="28" spans="1:49" ht="15" customHeight="1" x14ac:dyDescent="0.35">
      <c r="A28" s="15" t="s">
        <v>49</v>
      </c>
      <c r="B28" s="16"/>
      <c r="C28" s="17"/>
      <c r="D28" s="17"/>
      <c r="E28" s="18"/>
      <c r="F28" s="22"/>
      <c r="G28" s="22"/>
      <c r="H28" s="16"/>
      <c r="I28" s="17"/>
      <c r="J28" s="17"/>
      <c r="K28" s="17"/>
      <c r="L28" s="18"/>
      <c r="M28" s="18"/>
      <c r="N28" s="67"/>
      <c r="O28" s="67"/>
      <c r="P28" s="67"/>
      <c r="Q28" s="18"/>
      <c r="R28" s="18"/>
      <c r="S28" s="18"/>
      <c r="T28" s="18"/>
      <c r="U28" s="18"/>
      <c r="V28" s="16"/>
      <c r="W28" s="18"/>
      <c r="X28" s="18"/>
      <c r="Y28" s="18"/>
      <c r="Z28" s="18"/>
      <c r="AA28" s="18"/>
      <c r="AB28" s="18"/>
      <c r="AC28" s="21"/>
      <c r="AD28" s="21"/>
      <c r="AE28" s="21"/>
      <c r="AF28" s="83"/>
      <c r="AG28" s="21"/>
      <c r="AH28" s="21"/>
      <c r="AI28" s="21"/>
      <c r="AJ28" s="21"/>
      <c r="AK28" s="21"/>
      <c r="AL28" s="21"/>
      <c r="AM28" s="108"/>
      <c r="AN28" s="21"/>
      <c r="AO28" s="21"/>
      <c r="AP28" s="21"/>
      <c r="AQ28" s="21"/>
      <c r="AR28" s="21"/>
      <c r="AS28" s="21"/>
      <c r="AT28" s="21"/>
      <c r="AU28" s="21"/>
      <c r="AV28" s="21"/>
      <c r="AW28" s="21"/>
    </row>
    <row r="29" spans="1:49" ht="24" customHeight="1" x14ac:dyDescent="0.35">
      <c r="A29" s="19" t="s">
        <v>50</v>
      </c>
      <c r="B29" s="20" t="s">
        <v>51</v>
      </c>
      <c r="C29" s="21">
        <v>3</v>
      </c>
      <c r="D29" s="21">
        <v>1100</v>
      </c>
      <c r="E29" s="22">
        <f>C29*D29</f>
        <v>3300</v>
      </c>
      <c r="F29" s="22">
        <f t="shared" si="0"/>
        <v>2164658.1</v>
      </c>
      <c r="G29" s="22"/>
      <c r="H29" s="20" t="s">
        <v>51</v>
      </c>
      <c r="I29" s="21">
        <v>4</v>
      </c>
      <c r="J29" s="21">
        <v>721552.7</v>
      </c>
      <c r="K29" s="21">
        <f t="shared" ref="K29:K34" si="48">J29/$B$2</f>
        <v>1100</v>
      </c>
      <c r="L29" s="22">
        <f>I29*J29</f>
        <v>2886210.8</v>
      </c>
      <c r="M29" s="22">
        <f>+L29/655.957</f>
        <v>4400</v>
      </c>
      <c r="N29" s="67"/>
      <c r="O29" s="67">
        <f t="shared" ref="O29:O34" si="49">M29</f>
        <v>4400</v>
      </c>
      <c r="P29" s="67"/>
      <c r="Q29" s="22">
        <v>2886200</v>
      </c>
      <c r="R29" s="22">
        <f t="shared" ref="R29:R34" si="50">+Q29/655.957</f>
        <v>4399.9835355061387</v>
      </c>
      <c r="S29" s="22"/>
      <c r="T29" s="22">
        <f t="shared" ref="T29:T34" si="51">+S29/655.957</f>
        <v>0</v>
      </c>
      <c r="U29" s="22">
        <f t="shared" ref="U29:U34" si="52">Q29+S29</f>
        <v>2886200</v>
      </c>
      <c r="V29" s="20">
        <f t="shared" ref="V29:V34" si="53">+U29/655.957</f>
        <v>4399.9835355061387</v>
      </c>
      <c r="W29" s="22"/>
      <c r="X29" s="22">
        <f t="shared" ref="X29:X34" si="54">+W29/655.957</f>
        <v>0</v>
      </c>
      <c r="Y29" s="22">
        <f t="shared" ref="Y29:Y34" si="55">+U29+W29</f>
        <v>2886200</v>
      </c>
      <c r="Z29" s="22">
        <f t="shared" ref="Z29:Z34" si="56">+Y29/655.957</f>
        <v>4399.9835355061387</v>
      </c>
      <c r="AA29" s="22">
        <f t="shared" ref="AA29:AA34" si="57">+L29-Y29</f>
        <v>10.799999999813735</v>
      </c>
      <c r="AB29" s="22">
        <f t="shared" ref="AB29:AB34" si="58">+AA29/655.957</f>
        <v>1.6464493861356361E-2</v>
      </c>
      <c r="AC29" s="21"/>
      <c r="AD29" s="21">
        <f>AB29</f>
        <v>1.6464493861356361E-2</v>
      </c>
      <c r="AE29" s="21"/>
      <c r="AF29" s="81">
        <v>0</v>
      </c>
      <c r="AG29" s="21"/>
      <c r="AH29" s="21">
        <f t="shared" ref="AH29:AH34" si="59">AF29</f>
        <v>0</v>
      </c>
      <c r="AI29" s="21"/>
      <c r="AJ29" s="21">
        <f t="shared" ref="AJ29:AM34" si="60">AB29-AF29</f>
        <v>1.6464493861356361E-2</v>
      </c>
      <c r="AK29" s="21">
        <f t="shared" si="60"/>
        <v>0</v>
      </c>
      <c r="AL29" s="21">
        <f t="shared" si="60"/>
        <v>1.6464493861356361E-2</v>
      </c>
      <c r="AM29" s="108">
        <f t="shared" si="60"/>
        <v>0</v>
      </c>
      <c r="AN29" s="21"/>
      <c r="AO29" s="21"/>
      <c r="AP29" s="21"/>
      <c r="AQ29" s="21"/>
      <c r="AR29" s="21"/>
      <c r="AS29" s="21"/>
      <c r="AT29" s="21"/>
      <c r="AU29" s="21"/>
      <c r="AV29" s="21"/>
      <c r="AW29" s="21"/>
    </row>
    <row r="30" spans="1:49" ht="15" customHeight="1" x14ac:dyDescent="0.35">
      <c r="A30" s="19" t="s">
        <v>52</v>
      </c>
      <c r="B30" s="20" t="s">
        <v>53</v>
      </c>
      <c r="C30" s="21">
        <v>1</v>
      </c>
      <c r="D30" s="21">
        <v>500</v>
      </c>
      <c r="E30" s="22">
        <f>C30*D30</f>
        <v>500</v>
      </c>
      <c r="F30" s="22">
        <f t="shared" si="0"/>
        <v>327978.5</v>
      </c>
      <c r="G30" s="22"/>
      <c r="H30" s="20" t="s">
        <v>53</v>
      </c>
      <c r="I30" s="21">
        <v>1</v>
      </c>
      <c r="J30" s="21">
        <v>327978.5</v>
      </c>
      <c r="K30" s="21">
        <f t="shared" si="48"/>
        <v>500</v>
      </c>
      <c r="L30" s="22">
        <f>I30*J30</f>
        <v>327978.5</v>
      </c>
      <c r="M30" s="22">
        <f>+L30/655.957</f>
        <v>500</v>
      </c>
      <c r="N30" s="67"/>
      <c r="O30" s="67">
        <f t="shared" si="49"/>
        <v>500</v>
      </c>
      <c r="P30" s="67"/>
      <c r="Q30" s="22">
        <v>379700</v>
      </c>
      <c r="R30" s="22">
        <f t="shared" si="50"/>
        <v>578.84891845044717</v>
      </c>
      <c r="S30" s="22"/>
      <c r="T30" s="22">
        <f t="shared" si="51"/>
        <v>0</v>
      </c>
      <c r="U30" s="22">
        <f t="shared" si="52"/>
        <v>379700</v>
      </c>
      <c r="V30" s="20">
        <f t="shared" si="53"/>
        <v>578.84891845044717</v>
      </c>
      <c r="W30" s="22"/>
      <c r="X30" s="22">
        <f t="shared" si="54"/>
        <v>0</v>
      </c>
      <c r="Y30" s="22">
        <f t="shared" si="55"/>
        <v>379700</v>
      </c>
      <c r="Z30" s="22">
        <f t="shared" si="56"/>
        <v>578.84891845044717</v>
      </c>
      <c r="AA30" s="22">
        <f t="shared" si="57"/>
        <v>-51721.5</v>
      </c>
      <c r="AB30" s="22">
        <f t="shared" si="58"/>
        <v>-78.848918450447215</v>
      </c>
      <c r="AC30" s="21"/>
      <c r="AD30" s="21">
        <f t="shared" ref="AD30:AD34" si="61">AB30</f>
        <v>-78.848918450447215</v>
      </c>
      <c r="AE30" s="21"/>
      <c r="AF30" s="81">
        <v>0</v>
      </c>
      <c r="AG30" s="21"/>
      <c r="AH30" s="21">
        <f t="shared" si="59"/>
        <v>0</v>
      </c>
      <c r="AI30" s="21"/>
      <c r="AJ30" s="21">
        <f t="shared" si="60"/>
        <v>-78.848918450447215</v>
      </c>
      <c r="AK30" s="21">
        <f t="shared" si="60"/>
        <v>0</v>
      </c>
      <c r="AL30" s="21">
        <f t="shared" si="60"/>
        <v>-78.848918450447215</v>
      </c>
      <c r="AM30" s="108">
        <f t="shared" si="60"/>
        <v>0</v>
      </c>
      <c r="AN30" s="21"/>
      <c r="AO30" s="21"/>
      <c r="AP30" s="21"/>
      <c r="AQ30" s="21"/>
      <c r="AR30" s="21"/>
      <c r="AS30" s="21"/>
      <c r="AT30" s="21"/>
      <c r="AU30" s="21"/>
      <c r="AV30" s="21"/>
      <c r="AW30" s="21"/>
    </row>
    <row r="31" spans="1:49" ht="15" customHeight="1" x14ac:dyDescent="0.35">
      <c r="A31" s="19" t="s">
        <v>54</v>
      </c>
      <c r="B31" s="20" t="s">
        <v>29</v>
      </c>
      <c r="C31" s="21">
        <v>21</v>
      </c>
      <c r="D31" s="21">
        <v>200</v>
      </c>
      <c r="E31" s="22">
        <f>C31*D31</f>
        <v>4200</v>
      </c>
      <c r="F31" s="22">
        <f>+E31*655.957</f>
        <v>2755019.4</v>
      </c>
      <c r="G31" s="22"/>
      <c r="H31" s="20" t="s">
        <v>29</v>
      </c>
      <c r="I31" s="21">
        <v>62</v>
      </c>
      <c r="J31" s="21">
        <f>131191.482/2</f>
        <v>65595.740999999995</v>
      </c>
      <c r="K31" s="21">
        <f t="shared" si="48"/>
        <v>100.00006250409706</v>
      </c>
      <c r="L31" s="22">
        <f>+(65596*26)+(J31*48)</f>
        <v>4854091.568</v>
      </c>
      <c r="M31" s="22">
        <f t="shared" ref="M31:M34" si="62">+L31/655.957</f>
        <v>7400.0148912200038</v>
      </c>
      <c r="N31" s="67"/>
      <c r="O31" s="67">
        <f t="shared" si="49"/>
        <v>7400.0148912200038</v>
      </c>
      <c r="P31" s="67"/>
      <c r="Q31" s="22"/>
      <c r="R31" s="22">
        <f t="shared" si="50"/>
        <v>0</v>
      </c>
      <c r="S31" s="22">
        <v>787146</v>
      </c>
      <c r="T31" s="22">
        <f t="shared" si="51"/>
        <v>1199.9963412235863</v>
      </c>
      <c r="U31" s="22">
        <f t="shared" si="52"/>
        <v>787146</v>
      </c>
      <c r="V31" s="20">
        <f t="shared" si="53"/>
        <v>1199.9963412235863</v>
      </c>
      <c r="W31" s="22">
        <v>787148</v>
      </c>
      <c r="X31" s="22">
        <f t="shared" si="54"/>
        <v>1199.9993902039312</v>
      </c>
      <c r="Y31" s="22">
        <f t="shared" si="55"/>
        <v>1574294</v>
      </c>
      <c r="Z31" s="22">
        <f t="shared" si="56"/>
        <v>2399.9957314275175</v>
      </c>
      <c r="AA31" s="22">
        <f t="shared" si="57"/>
        <v>3279797.568</v>
      </c>
      <c r="AB31" s="22">
        <f t="shared" si="58"/>
        <v>5000.0191597924868</v>
      </c>
      <c r="AC31" s="21"/>
      <c r="AD31" s="21">
        <f t="shared" si="61"/>
        <v>5000.0191597924868</v>
      </c>
      <c r="AE31" s="21"/>
      <c r="AF31" s="81">
        <v>1200.0007500491647</v>
      </c>
      <c r="AG31" s="21"/>
      <c r="AH31" s="21">
        <f t="shared" si="59"/>
        <v>1200.0007500491647</v>
      </c>
      <c r="AI31" s="21"/>
      <c r="AJ31" s="21">
        <f t="shared" si="60"/>
        <v>3800.0184097433221</v>
      </c>
      <c r="AK31" s="21">
        <f t="shared" si="60"/>
        <v>0</v>
      </c>
      <c r="AL31" s="21">
        <f t="shared" si="60"/>
        <v>3800.0184097433221</v>
      </c>
      <c r="AM31" s="108">
        <f t="shared" si="60"/>
        <v>0</v>
      </c>
      <c r="AN31" s="21"/>
      <c r="AO31" s="21"/>
      <c r="AP31" s="21"/>
      <c r="AQ31" s="21"/>
      <c r="AR31" s="21"/>
      <c r="AS31" s="21"/>
      <c r="AT31" s="21"/>
      <c r="AU31" s="21"/>
      <c r="AV31" s="21"/>
      <c r="AW31" s="21"/>
    </row>
    <row r="32" spans="1:49" ht="15" customHeight="1" x14ac:dyDescent="0.35">
      <c r="A32" s="19" t="s">
        <v>55</v>
      </c>
      <c r="B32" s="20" t="s">
        <v>29</v>
      </c>
      <c r="C32" s="21">
        <v>21</v>
      </c>
      <c r="D32" s="21">
        <v>500</v>
      </c>
      <c r="E32" s="22">
        <f>C32*D32</f>
        <v>10500</v>
      </c>
      <c r="F32" s="22">
        <f>+E32*655.957</f>
        <v>6887548.5</v>
      </c>
      <c r="G32" s="22"/>
      <c r="H32" s="20" t="s">
        <v>29</v>
      </c>
      <c r="I32" s="21">
        <v>62</v>
      </c>
      <c r="J32" s="21">
        <f>327978.5164/2</f>
        <v>163989.25820000001</v>
      </c>
      <c r="K32" s="21">
        <f t="shared" si="48"/>
        <v>250.00001250081942</v>
      </c>
      <c r="L32" s="22">
        <f>+(163989*26)+(J32*48)</f>
        <v>12135198.3936</v>
      </c>
      <c r="M32" s="22">
        <f t="shared" si="62"/>
        <v>18499.99069085321</v>
      </c>
      <c r="N32" s="67"/>
      <c r="O32" s="67">
        <f t="shared" si="49"/>
        <v>18499.99069085321</v>
      </c>
      <c r="P32" s="67"/>
      <c r="Q32" s="22">
        <v>2296000</v>
      </c>
      <c r="R32" s="22">
        <f t="shared" si="50"/>
        <v>3500.2294357709425</v>
      </c>
      <c r="S32" s="22">
        <v>1967874</v>
      </c>
      <c r="T32" s="22">
        <f t="shared" si="51"/>
        <v>3000.0045734705172</v>
      </c>
      <c r="U32" s="22">
        <f t="shared" si="52"/>
        <v>4263874</v>
      </c>
      <c r="V32" s="20">
        <f t="shared" si="53"/>
        <v>6500.2340092414597</v>
      </c>
      <c r="W32" s="22">
        <v>1967872</v>
      </c>
      <c r="X32" s="22">
        <f t="shared" si="54"/>
        <v>3000.0015244901724</v>
      </c>
      <c r="Y32" s="22">
        <f t="shared" si="55"/>
        <v>6231746</v>
      </c>
      <c r="Z32" s="22">
        <f t="shared" si="56"/>
        <v>9500.2355337316312</v>
      </c>
      <c r="AA32" s="22">
        <f t="shared" si="57"/>
        <v>5903452.3936000001</v>
      </c>
      <c r="AB32" s="22">
        <f t="shared" si="58"/>
        <v>8999.755157121579</v>
      </c>
      <c r="AC32" s="21"/>
      <c r="AD32" s="21">
        <f t="shared" si="61"/>
        <v>8999.755157121579</v>
      </c>
      <c r="AE32" s="21"/>
      <c r="AF32" s="81">
        <v>3000.0001500098329</v>
      </c>
      <c r="AG32" s="21"/>
      <c r="AH32" s="21">
        <f t="shared" si="59"/>
        <v>3000.0001500098329</v>
      </c>
      <c r="AI32" s="21"/>
      <c r="AJ32" s="21">
        <f t="shared" si="60"/>
        <v>5999.7550071117457</v>
      </c>
      <c r="AK32" s="21">
        <f t="shared" si="60"/>
        <v>0</v>
      </c>
      <c r="AL32" s="21">
        <f t="shared" si="60"/>
        <v>5999.7550071117457</v>
      </c>
      <c r="AM32" s="108">
        <f t="shared" si="60"/>
        <v>0</v>
      </c>
      <c r="AN32" s="21"/>
      <c r="AO32" s="21"/>
      <c r="AP32" s="21"/>
      <c r="AQ32" s="21"/>
      <c r="AR32" s="21"/>
      <c r="AS32" s="21"/>
      <c r="AT32" s="21"/>
      <c r="AU32" s="21"/>
      <c r="AV32" s="21"/>
      <c r="AW32" s="21"/>
    </row>
    <row r="33" spans="1:49" ht="15" customHeight="1" x14ac:dyDescent="0.35">
      <c r="A33" s="19" t="s">
        <v>56</v>
      </c>
      <c r="B33" s="20" t="s">
        <v>29</v>
      </c>
      <c r="C33" s="21">
        <v>21</v>
      </c>
      <c r="D33" s="21">
        <v>250</v>
      </c>
      <c r="E33" s="22">
        <f>C33*D33</f>
        <v>5250</v>
      </c>
      <c r="F33" s="22">
        <f>+E33*655.957</f>
        <v>3443774.25</v>
      </c>
      <c r="G33" s="22"/>
      <c r="H33" s="20" t="s">
        <v>29</v>
      </c>
      <c r="I33" s="21">
        <v>62</v>
      </c>
      <c r="J33" s="21">
        <f>163989.25/2</f>
        <v>81994.625</v>
      </c>
      <c r="K33" s="21">
        <f t="shared" si="48"/>
        <v>125</v>
      </c>
      <c r="L33" s="22">
        <f>+(81995*26)+(J33*48)</f>
        <v>6067612</v>
      </c>
      <c r="M33" s="22">
        <f t="shared" si="62"/>
        <v>9250.0148637791808</v>
      </c>
      <c r="N33" s="67"/>
      <c r="O33" s="67">
        <f t="shared" si="49"/>
        <v>9250.0148637791808</v>
      </c>
      <c r="P33" s="67"/>
      <c r="Q33" s="22">
        <v>1148000</v>
      </c>
      <c r="R33" s="22">
        <f t="shared" si="50"/>
        <v>1750.1147178854712</v>
      </c>
      <c r="S33" s="22">
        <v>983934</v>
      </c>
      <c r="T33" s="22">
        <f t="shared" si="51"/>
        <v>1499.9977132647414</v>
      </c>
      <c r="U33" s="22">
        <f t="shared" si="52"/>
        <v>2131934</v>
      </c>
      <c r="V33" s="20">
        <f t="shared" si="53"/>
        <v>3250.1124311502126</v>
      </c>
      <c r="W33" s="22">
        <v>983936</v>
      </c>
      <c r="X33" s="22">
        <f t="shared" si="54"/>
        <v>1500.0007622450862</v>
      </c>
      <c r="Y33" s="22">
        <f t="shared" si="55"/>
        <v>3115870</v>
      </c>
      <c r="Z33" s="22">
        <f t="shared" si="56"/>
        <v>4750.1131933952993</v>
      </c>
      <c r="AA33" s="22">
        <f t="shared" si="57"/>
        <v>2951742</v>
      </c>
      <c r="AB33" s="22">
        <f t="shared" si="58"/>
        <v>4499.9016703838815</v>
      </c>
      <c r="AC33" s="21"/>
      <c r="AD33" s="21">
        <f t="shared" si="61"/>
        <v>4499.9016703838815</v>
      </c>
      <c r="AE33" s="21"/>
      <c r="AF33" s="81">
        <v>1500</v>
      </c>
      <c r="AG33" s="21"/>
      <c r="AH33" s="21">
        <f t="shared" si="59"/>
        <v>1500</v>
      </c>
      <c r="AI33" s="21"/>
      <c r="AJ33" s="21">
        <f t="shared" si="60"/>
        <v>2999.9016703838815</v>
      </c>
      <c r="AK33" s="21">
        <f t="shared" si="60"/>
        <v>0</v>
      </c>
      <c r="AL33" s="21">
        <f t="shared" si="60"/>
        <v>2999.9016703838815</v>
      </c>
      <c r="AM33" s="108">
        <f t="shared" si="60"/>
        <v>0</v>
      </c>
      <c r="AN33" s="21"/>
      <c r="AO33" s="21"/>
      <c r="AP33" s="21"/>
      <c r="AQ33" s="21"/>
      <c r="AR33" s="21"/>
      <c r="AS33" s="21"/>
      <c r="AT33" s="21"/>
      <c r="AU33" s="21"/>
      <c r="AV33" s="21"/>
      <c r="AW33" s="21"/>
    </row>
    <row r="34" spans="1:49" ht="15" customHeight="1" x14ac:dyDescent="0.35">
      <c r="A34" s="19" t="s">
        <v>57</v>
      </c>
      <c r="B34" s="20" t="s">
        <v>29</v>
      </c>
      <c r="C34" s="21"/>
      <c r="D34" s="21"/>
      <c r="E34" s="22"/>
      <c r="F34" s="22"/>
      <c r="G34" s="22"/>
      <c r="H34" s="20" t="s">
        <v>29</v>
      </c>
      <c r="I34" s="21">
        <v>36</v>
      </c>
      <c r="J34" s="21">
        <v>100000</v>
      </c>
      <c r="K34" s="21">
        <f t="shared" si="48"/>
        <v>152.44901723741037</v>
      </c>
      <c r="L34" s="22">
        <f>I34*J34</f>
        <v>3600000</v>
      </c>
      <c r="M34" s="22">
        <f t="shared" si="62"/>
        <v>5488.1646205467741</v>
      </c>
      <c r="N34" s="67"/>
      <c r="O34" s="67">
        <f t="shared" si="49"/>
        <v>5488.1646205467741</v>
      </c>
      <c r="P34" s="67"/>
      <c r="Q34" s="22"/>
      <c r="R34" s="22">
        <f t="shared" si="50"/>
        <v>0</v>
      </c>
      <c r="S34" s="22"/>
      <c r="T34" s="22">
        <f t="shared" si="51"/>
        <v>0</v>
      </c>
      <c r="U34" s="22">
        <f t="shared" si="52"/>
        <v>0</v>
      </c>
      <c r="V34" s="20">
        <f t="shared" si="53"/>
        <v>0</v>
      </c>
      <c r="W34" s="22">
        <v>1200000</v>
      </c>
      <c r="X34" s="22">
        <f t="shared" si="54"/>
        <v>1829.3882068489245</v>
      </c>
      <c r="Y34" s="22">
        <f t="shared" si="55"/>
        <v>1200000</v>
      </c>
      <c r="Z34" s="22">
        <f t="shared" si="56"/>
        <v>1829.3882068489245</v>
      </c>
      <c r="AA34" s="22">
        <f t="shared" si="57"/>
        <v>2400000</v>
      </c>
      <c r="AB34" s="22">
        <f t="shared" si="58"/>
        <v>3658.776413697849</v>
      </c>
      <c r="AC34" s="21"/>
      <c r="AD34" s="21">
        <f t="shared" si="61"/>
        <v>3658.776413697849</v>
      </c>
      <c r="AE34" s="21"/>
      <c r="AF34" s="81">
        <v>1829.3882068489245</v>
      </c>
      <c r="AG34" s="21"/>
      <c r="AH34" s="21">
        <f t="shared" si="59"/>
        <v>1829.3882068489245</v>
      </c>
      <c r="AI34" s="21"/>
      <c r="AJ34" s="21">
        <f t="shared" si="60"/>
        <v>1829.3882068489245</v>
      </c>
      <c r="AK34" s="21">
        <f t="shared" si="60"/>
        <v>0</v>
      </c>
      <c r="AL34" s="21">
        <f t="shared" si="60"/>
        <v>1829.3882068489245</v>
      </c>
      <c r="AM34" s="108">
        <f t="shared" si="60"/>
        <v>0</v>
      </c>
      <c r="AN34" s="21"/>
      <c r="AO34" s="21"/>
      <c r="AP34" s="21"/>
      <c r="AQ34" s="21"/>
      <c r="AR34" s="21"/>
      <c r="AS34" s="21"/>
      <c r="AT34" s="21"/>
      <c r="AU34" s="21"/>
      <c r="AV34" s="21"/>
      <c r="AW34" s="21"/>
    </row>
    <row r="35" spans="1:49" ht="15" customHeight="1" x14ac:dyDescent="0.35">
      <c r="A35" s="24" t="s">
        <v>58</v>
      </c>
      <c r="B35" s="25"/>
      <c r="C35" s="25"/>
      <c r="D35" s="25"/>
      <c r="E35" s="27">
        <f>SUM(E29:E34)</f>
        <v>23750</v>
      </c>
      <c r="F35" s="27">
        <f>E35*655.957</f>
        <v>15578978.75</v>
      </c>
      <c r="G35" s="28">
        <f>F35/$F$159</f>
        <v>2.1766402741418132E-2</v>
      </c>
      <c r="H35" s="25"/>
      <c r="I35" s="25"/>
      <c r="J35" s="25"/>
      <c r="K35" s="26"/>
      <c r="L35" s="27">
        <f>SUM(L29:L34)</f>
        <v>29871091.261599999</v>
      </c>
      <c r="M35" s="27">
        <f>SUM(M29:M34)</f>
        <v>45538.185066399172</v>
      </c>
      <c r="N35" s="68">
        <f t="shared" ref="N35:P35" si="63">SUM(N29:N34)</f>
        <v>0</v>
      </c>
      <c r="O35" s="68">
        <f t="shared" si="63"/>
        <v>45538.185066399172</v>
      </c>
      <c r="P35" s="68">
        <f t="shared" si="63"/>
        <v>0</v>
      </c>
      <c r="Q35" s="27">
        <f>SUM(Q29:Q34)</f>
        <v>6709900</v>
      </c>
      <c r="R35" s="27">
        <f t="shared" ref="R35:X35" si="64">SUM(R29:R34)</f>
        <v>10229.176607612999</v>
      </c>
      <c r="S35" s="27">
        <f t="shared" si="64"/>
        <v>3738954</v>
      </c>
      <c r="T35" s="27">
        <f t="shared" si="64"/>
        <v>5699.9986279588447</v>
      </c>
      <c r="U35" s="27">
        <f t="shared" si="64"/>
        <v>10448854</v>
      </c>
      <c r="V35" s="27">
        <f t="shared" si="64"/>
        <v>15929.175235571845</v>
      </c>
      <c r="W35" s="27">
        <f>SUM(W29:W34)</f>
        <v>4938956</v>
      </c>
      <c r="X35" s="27">
        <f t="shared" si="64"/>
        <v>7529.3898837881143</v>
      </c>
      <c r="Y35" s="27">
        <f>SUM(Y29:Y34)</f>
        <v>15387810</v>
      </c>
      <c r="Z35" s="27">
        <f>SUM(Z29:Z34)</f>
        <v>23458.565119359962</v>
      </c>
      <c r="AA35" s="27">
        <f>SUM(AA29:AA34)</f>
        <v>14483281.261599999</v>
      </c>
      <c r="AB35" s="27">
        <f>SUM(AB29:AB34)</f>
        <v>22079.619947039209</v>
      </c>
      <c r="AC35" s="27">
        <f t="shared" ref="AC35:AM35" si="65">SUM(AC29:AC34)</f>
        <v>0</v>
      </c>
      <c r="AD35" s="27">
        <f t="shared" si="65"/>
        <v>22079.619947039209</v>
      </c>
      <c r="AE35" s="27">
        <f t="shared" si="65"/>
        <v>0</v>
      </c>
      <c r="AF35" s="82">
        <v>7529.3891069079227</v>
      </c>
      <c r="AG35" s="27">
        <f t="shared" si="65"/>
        <v>0</v>
      </c>
      <c r="AH35" s="27">
        <f t="shared" si="65"/>
        <v>7529.3891069079227</v>
      </c>
      <c r="AI35" s="27">
        <f t="shared" si="65"/>
        <v>0</v>
      </c>
      <c r="AJ35" s="27">
        <f t="shared" si="65"/>
        <v>14550.230840131286</v>
      </c>
      <c r="AK35" s="27">
        <f t="shared" si="65"/>
        <v>0</v>
      </c>
      <c r="AL35" s="33">
        <f t="shared" si="65"/>
        <v>14550.230840131286</v>
      </c>
      <c r="AM35" s="110">
        <f t="shared" si="65"/>
        <v>0</v>
      </c>
      <c r="AN35" s="27"/>
      <c r="AO35" s="27"/>
      <c r="AP35" s="27"/>
      <c r="AQ35" s="27"/>
      <c r="AR35" s="110">
        <f t="shared" ref="AR35:AW35" si="66">SUM(AR29:AR34)</f>
        <v>0</v>
      </c>
      <c r="AS35" s="110">
        <f t="shared" si="66"/>
        <v>0</v>
      </c>
      <c r="AT35" s="110">
        <f t="shared" si="66"/>
        <v>0</v>
      </c>
      <c r="AU35" s="110">
        <f t="shared" si="66"/>
        <v>0</v>
      </c>
      <c r="AV35" s="110">
        <f t="shared" si="66"/>
        <v>0</v>
      </c>
      <c r="AW35" s="110">
        <f t="shared" si="66"/>
        <v>0</v>
      </c>
    </row>
    <row r="36" spans="1:49" ht="15" customHeight="1" x14ac:dyDescent="0.35">
      <c r="A36" s="15" t="s">
        <v>36</v>
      </c>
      <c r="B36" s="20"/>
      <c r="C36" s="21"/>
      <c r="D36" s="21"/>
      <c r="E36" s="22"/>
      <c r="F36" s="22"/>
      <c r="G36" s="22"/>
      <c r="H36" s="20"/>
      <c r="I36" s="21"/>
      <c r="J36" s="21"/>
      <c r="K36" s="21"/>
      <c r="L36" s="22"/>
      <c r="M36" s="22"/>
      <c r="N36" s="67"/>
      <c r="O36" s="67"/>
      <c r="P36" s="67"/>
      <c r="Q36" s="22"/>
      <c r="R36" s="22"/>
      <c r="S36" s="22"/>
      <c r="T36" s="22"/>
      <c r="U36" s="22"/>
      <c r="V36" s="20"/>
      <c r="W36" s="22"/>
      <c r="X36" s="22"/>
      <c r="Y36" s="39">
        <f>Y35+AA35</f>
        <v>29871091.261599999</v>
      </c>
      <c r="Z36" s="22"/>
      <c r="AA36" s="22"/>
      <c r="AB36" s="22"/>
      <c r="AC36" s="21"/>
      <c r="AD36" s="21"/>
      <c r="AE36" s="21"/>
      <c r="AF36" s="81"/>
      <c r="AG36" s="21"/>
      <c r="AH36" s="21"/>
      <c r="AI36" s="21"/>
      <c r="AJ36" s="21"/>
      <c r="AK36" s="21"/>
      <c r="AL36" s="21"/>
      <c r="AM36" s="108"/>
      <c r="AN36" s="21"/>
      <c r="AO36" s="21"/>
      <c r="AP36" s="21"/>
      <c r="AQ36" s="21"/>
      <c r="AR36" s="21"/>
      <c r="AS36" s="21"/>
      <c r="AT36" s="21"/>
      <c r="AU36" s="21"/>
      <c r="AV36" s="21"/>
      <c r="AW36" s="21"/>
    </row>
    <row r="37" spans="1:49" ht="15" customHeight="1" x14ac:dyDescent="0.35">
      <c r="A37" s="19" t="s">
        <v>59</v>
      </c>
      <c r="B37" s="20" t="s">
        <v>51</v>
      </c>
      <c r="C37" s="21">
        <v>3</v>
      </c>
      <c r="D37" s="21">
        <v>1100</v>
      </c>
      <c r="E37" s="22">
        <f>C37*D37</f>
        <v>3300</v>
      </c>
      <c r="F37" s="22">
        <f t="shared" ref="F37:F38" si="67">+E37*655.957</f>
        <v>2164658.1</v>
      </c>
      <c r="G37" s="22"/>
      <c r="H37" s="20" t="s">
        <v>51</v>
      </c>
      <c r="I37" s="21">
        <v>2</v>
      </c>
      <c r="J37" s="21">
        <v>721552.7</v>
      </c>
      <c r="K37" s="21">
        <f t="shared" ref="K37:K42" si="68">J37/$B$2</f>
        <v>1100</v>
      </c>
      <c r="L37" s="22">
        <f t="shared" ref="L37:L41" si="69">I37*J37</f>
        <v>1443105.4</v>
      </c>
      <c r="M37" s="22">
        <f>+L37/655.957</f>
        <v>2200</v>
      </c>
      <c r="N37" s="67"/>
      <c r="O37" s="67"/>
      <c r="P37" s="67">
        <f t="shared" ref="P37:P42" si="70">M37</f>
        <v>2200</v>
      </c>
      <c r="Q37" s="22">
        <v>1439826</v>
      </c>
      <c r="R37" s="22">
        <f t="shared" ref="R37:R42" si="71">+Q37/655.957</f>
        <v>2195.0005869287165</v>
      </c>
      <c r="S37" s="22"/>
      <c r="T37" s="22">
        <f t="shared" ref="T37:T42" si="72">+S37/655.957</f>
        <v>0</v>
      </c>
      <c r="U37" s="22">
        <f t="shared" ref="U37:U42" si="73">Q37+S37</f>
        <v>1439826</v>
      </c>
      <c r="V37" s="20">
        <f t="shared" ref="V37:V42" si="74">+U37/655.957</f>
        <v>2195.0005869287165</v>
      </c>
      <c r="W37" s="29"/>
      <c r="X37" s="22">
        <f t="shared" ref="X37:X42" si="75">+W37/655.957</f>
        <v>0</v>
      </c>
      <c r="Y37" s="22">
        <f t="shared" ref="Y37:Y42" si="76">+U37+W37</f>
        <v>1439826</v>
      </c>
      <c r="Z37" s="22">
        <f t="shared" ref="Z37:Z42" si="77">+Y37/655.957</f>
        <v>2195.0005869287165</v>
      </c>
      <c r="AA37" s="22">
        <f t="shared" ref="AA37:AA42" si="78">+L37-Y37</f>
        <v>3279.3999999999069</v>
      </c>
      <c r="AB37" s="22">
        <f t="shared" ref="AB37:AB42" si="79">+AA37/655.957</f>
        <v>4.9994130712834943</v>
      </c>
      <c r="AC37" s="21"/>
      <c r="AD37" s="21"/>
      <c r="AE37" s="21">
        <f>AB37</f>
        <v>4.9994130712834943</v>
      </c>
      <c r="AF37" s="81">
        <v>0</v>
      </c>
      <c r="AG37" s="21"/>
      <c r="AH37" s="21"/>
      <c r="AI37" s="21">
        <f t="shared" ref="AI37:AI42" si="80">AF37</f>
        <v>0</v>
      </c>
      <c r="AJ37" s="21">
        <f t="shared" ref="AJ37:AM42" si="81">AB37-AF37</f>
        <v>4.9994130712834943</v>
      </c>
      <c r="AK37" s="21">
        <f t="shared" si="81"/>
        <v>0</v>
      </c>
      <c r="AL37" s="21">
        <f t="shared" si="81"/>
        <v>0</v>
      </c>
      <c r="AM37" s="108">
        <f t="shared" si="81"/>
        <v>4.9994130712834943</v>
      </c>
      <c r="AN37" s="21"/>
      <c r="AO37" s="21"/>
      <c r="AP37" s="21"/>
      <c r="AQ37" s="21"/>
      <c r="AR37" s="21"/>
      <c r="AS37" s="21"/>
      <c r="AT37" s="21"/>
      <c r="AU37" s="21"/>
      <c r="AV37" s="21"/>
      <c r="AW37" s="21"/>
    </row>
    <row r="38" spans="1:49" ht="15" customHeight="1" x14ac:dyDescent="0.35">
      <c r="A38" s="19" t="s">
        <v>60</v>
      </c>
      <c r="B38" s="20" t="s">
        <v>53</v>
      </c>
      <c r="C38" s="21">
        <v>1</v>
      </c>
      <c r="D38" s="21">
        <v>500</v>
      </c>
      <c r="E38" s="22">
        <f>C38*D38</f>
        <v>500</v>
      </c>
      <c r="F38" s="22">
        <f t="shared" si="67"/>
        <v>327978.5</v>
      </c>
      <c r="G38" s="22"/>
      <c r="H38" s="20" t="s">
        <v>53</v>
      </c>
      <c r="I38" s="21">
        <v>1</v>
      </c>
      <c r="J38" s="21">
        <v>327978.5</v>
      </c>
      <c r="K38" s="21">
        <f t="shared" si="68"/>
        <v>500</v>
      </c>
      <c r="L38" s="22">
        <f t="shared" si="69"/>
        <v>327978.5</v>
      </c>
      <c r="M38" s="22">
        <f>+L38/655.957</f>
        <v>500</v>
      </c>
      <c r="N38" s="67"/>
      <c r="O38" s="67"/>
      <c r="P38" s="67">
        <f t="shared" si="70"/>
        <v>500</v>
      </c>
      <c r="Q38" s="22">
        <v>360120</v>
      </c>
      <c r="R38" s="22">
        <f t="shared" si="71"/>
        <v>548.99940087536231</v>
      </c>
      <c r="S38" s="22"/>
      <c r="T38" s="22">
        <f t="shared" si="72"/>
        <v>0</v>
      </c>
      <c r="U38" s="22">
        <f t="shared" si="73"/>
        <v>360120</v>
      </c>
      <c r="V38" s="20">
        <f t="shared" si="74"/>
        <v>548.99940087536231</v>
      </c>
      <c r="W38" s="29"/>
      <c r="X38" s="22">
        <f t="shared" si="75"/>
        <v>0</v>
      </c>
      <c r="Y38" s="22">
        <f t="shared" si="76"/>
        <v>360120</v>
      </c>
      <c r="Z38" s="22">
        <f t="shared" si="77"/>
        <v>548.99940087536231</v>
      </c>
      <c r="AA38" s="22">
        <f t="shared" si="78"/>
        <v>-32141.5</v>
      </c>
      <c r="AB38" s="22">
        <f t="shared" si="79"/>
        <v>-48.999400875362255</v>
      </c>
      <c r="AC38" s="21"/>
      <c r="AD38" s="21"/>
      <c r="AE38" s="21">
        <f t="shared" ref="AE38:AE41" si="82">AB38</f>
        <v>-48.999400875362255</v>
      </c>
      <c r="AF38" s="81">
        <v>0</v>
      </c>
      <c r="AG38" s="21"/>
      <c r="AH38" s="21"/>
      <c r="AI38" s="21">
        <f t="shared" si="80"/>
        <v>0</v>
      </c>
      <c r="AJ38" s="21">
        <f t="shared" si="81"/>
        <v>-48.999400875362255</v>
      </c>
      <c r="AK38" s="21">
        <f t="shared" si="81"/>
        <v>0</v>
      </c>
      <c r="AL38" s="21">
        <f t="shared" si="81"/>
        <v>0</v>
      </c>
      <c r="AM38" s="108">
        <f t="shared" si="81"/>
        <v>-48.999400875362255</v>
      </c>
      <c r="AN38" s="21"/>
      <c r="AO38" s="21"/>
      <c r="AP38" s="21"/>
      <c r="AQ38" s="21"/>
      <c r="AR38" s="21"/>
      <c r="AS38" s="21"/>
      <c r="AT38" s="21"/>
      <c r="AU38" s="21"/>
      <c r="AV38" s="21"/>
      <c r="AW38" s="21"/>
    </row>
    <row r="39" spans="1:49" ht="15" customHeight="1" x14ac:dyDescent="0.35">
      <c r="A39" s="19" t="s">
        <v>61</v>
      </c>
      <c r="B39" s="20" t="s">
        <v>29</v>
      </c>
      <c r="C39" s="21">
        <v>21</v>
      </c>
      <c r="D39" s="21">
        <v>200</v>
      </c>
      <c r="E39" s="22">
        <f>C39*D39</f>
        <v>4200</v>
      </c>
      <c r="F39" s="22">
        <f>+E39*655.957</f>
        <v>2755019.4</v>
      </c>
      <c r="G39" s="22"/>
      <c r="H39" s="20" t="s">
        <v>29</v>
      </c>
      <c r="I39" s="21">
        <v>62</v>
      </c>
      <c r="J39" s="21">
        <f>131191.482/2</f>
        <v>65595.740999999995</v>
      </c>
      <c r="K39" s="21">
        <f t="shared" si="68"/>
        <v>100.00006250409706</v>
      </c>
      <c r="L39" s="22">
        <f t="shared" si="69"/>
        <v>4066935.9419999998</v>
      </c>
      <c r="M39" s="22">
        <f t="shared" ref="M39:M42" si="83">+L39/655.957</f>
        <v>6200.0038752540177</v>
      </c>
      <c r="N39" s="67"/>
      <c r="O39" s="67"/>
      <c r="P39" s="67">
        <f t="shared" si="70"/>
        <v>6200.0038752540177</v>
      </c>
      <c r="Q39" s="22">
        <v>311580</v>
      </c>
      <c r="R39" s="22">
        <f t="shared" si="71"/>
        <v>475.00064790832329</v>
      </c>
      <c r="S39" s="22">
        <v>600268</v>
      </c>
      <c r="T39" s="22">
        <f t="shared" si="72"/>
        <v>915.10266679065853</v>
      </c>
      <c r="U39" s="22">
        <f t="shared" si="73"/>
        <v>911848</v>
      </c>
      <c r="V39" s="20">
        <f t="shared" si="74"/>
        <v>1390.1033146989819</v>
      </c>
      <c r="W39" s="30"/>
      <c r="X39" s="22">
        <f t="shared" si="75"/>
        <v>0</v>
      </c>
      <c r="Y39" s="22">
        <f t="shared" si="76"/>
        <v>911848</v>
      </c>
      <c r="Z39" s="22">
        <f t="shared" si="77"/>
        <v>1390.1033146989819</v>
      </c>
      <c r="AA39" s="22">
        <f t="shared" si="78"/>
        <v>3155087.9419999998</v>
      </c>
      <c r="AB39" s="22">
        <f t="shared" si="79"/>
        <v>4809.9005605550365</v>
      </c>
      <c r="AC39" s="21"/>
      <c r="AD39" s="21"/>
      <c r="AE39" s="21">
        <f t="shared" si="82"/>
        <v>4809.9005605550365</v>
      </c>
      <c r="AF39" s="81">
        <v>1200.0007500491647</v>
      </c>
      <c r="AG39" s="21"/>
      <c r="AH39" s="21"/>
      <c r="AI39" s="21">
        <f t="shared" si="80"/>
        <v>1200.0007500491647</v>
      </c>
      <c r="AJ39" s="21">
        <f t="shared" si="81"/>
        <v>3609.8998105058718</v>
      </c>
      <c r="AK39" s="21">
        <f t="shared" si="81"/>
        <v>0</v>
      </c>
      <c r="AL39" s="21">
        <f t="shared" si="81"/>
        <v>0</v>
      </c>
      <c r="AM39" s="108">
        <f t="shared" si="81"/>
        <v>3609.8998105058718</v>
      </c>
      <c r="AN39" s="21"/>
      <c r="AO39" s="21"/>
      <c r="AP39" s="21"/>
      <c r="AQ39" s="21"/>
      <c r="AR39" s="21"/>
      <c r="AS39" s="21"/>
      <c r="AT39" s="21"/>
      <c r="AU39" s="21"/>
      <c r="AV39" s="21"/>
      <c r="AW39" s="21"/>
    </row>
    <row r="40" spans="1:49" ht="15" customHeight="1" x14ac:dyDescent="0.35">
      <c r="A40" s="19" t="s">
        <v>62</v>
      </c>
      <c r="B40" s="20" t="s">
        <v>29</v>
      </c>
      <c r="C40" s="21">
        <v>21</v>
      </c>
      <c r="D40" s="21">
        <v>500</v>
      </c>
      <c r="E40" s="22">
        <f>C40*D40</f>
        <v>10500</v>
      </c>
      <c r="F40" s="22">
        <f>+E40*655.957</f>
        <v>6887548.5</v>
      </c>
      <c r="G40" s="22"/>
      <c r="H40" s="20" t="s">
        <v>29</v>
      </c>
      <c r="I40" s="21">
        <v>62</v>
      </c>
      <c r="J40" s="21">
        <f>327978.5164/2</f>
        <v>163989.25820000001</v>
      </c>
      <c r="K40" s="21">
        <f t="shared" si="68"/>
        <v>250.00001250081942</v>
      </c>
      <c r="L40" s="22">
        <f t="shared" si="69"/>
        <v>10167334.008400001</v>
      </c>
      <c r="M40" s="22">
        <f t="shared" si="83"/>
        <v>15500.000775050805</v>
      </c>
      <c r="N40" s="67"/>
      <c r="O40" s="67"/>
      <c r="P40" s="67">
        <f t="shared" si="70"/>
        <v>15500.000775050805</v>
      </c>
      <c r="Q40" s="22">
        <v>1829464</v>
      </c>
      <c r="R40" s="22">
        <f t="shared" si="71"/>
        <v>2788.9998887122174</v>
      </c>
      <c r="S40" s="22">
        <v>1647569</v>
      </c>
      <c r="T40" s="22">
        <f t="shared" si="72"/>
        <v>2511.7027488082299</v>
      </c>
      <c r="U40" s="22">
        <f t="shared" si="73"/>
        <v>3477033</v>
      </c>
      <c r="V40" s="20">
        <f t="shared" si="74"/>
        <v>5300.7026375204468</v>
      </c>
      <c r="W40" s="30">
        <v>4338500</v>
      </c>
      <c r="X40" s="22">
        <f t="shared" si="75"/>
        <v>6614.0006128450495</v>
      </c>
      <c r="Y40" s="22">
        <f t="shared" si="76"/>
        <v>7815533</v>
      </c>
      <c r="Z40" s="22">
        <f t="shared" si="77"/>
        <v>11914.703250365497</v>
      </c>
      <c r="AA40" s="22">
        <f t="shared" si="78"/>
        <v>2351801.0084000006</v>
      </c>
      <c r="AB40" s="22">
        <f t="shared" si="79"/>
        <v>3585.297524685308</v>
      </c>
      <c r="AC40" s="21"/>
      <c r="AD40" s="21"/>
      <c r="AE40" s="21">
        <f t="shared" si="82"/>
        <v>3585.297524685308</v>
      </c>
      <c r="AF40" s="81">
        <v>3000.0001500098329</v>
      </c>
      <c r="AG40" s="21"/>
      <c r="AH40" s="21"/>
      <c r="AI40" s="21">
        <f t="shared" si="80"/>
        <v>3000.0001500098329</v>
      </c>
      <c r="AJ40" s="21">
        <f t="shared" si="81"/>
        <v>585.29737467547511</v>
      </c>
      <c r="AK40" s="21">
        <f t="shared" si="81"/>
        <v>0</v>
      </c>
      <c r="AL40" s="21">
        <f t="shared" si="81"/>
        <v>0</v>
      </c>
      <c r="AM40" s="108">
        <f t="shared" si="81"/>
        <v>585.29737467547511</v>
      </c>
      <c r="AN40" s="21"/>
      <c r="AO40" s="21"/>
      <c r="AP40" s="21"/>
      <c r="AQ40" s="21"/>
      <c r="AR40" s="21"/>
      <c r="AS40" s="21"/>
      <c r="AT40" s="21"/>
      <c r="AU40" s="21"/>
      <c r="AV40" s="21"/>
      <c r="AW40" s="21"/>
    </row>
    <row r="41" spans="1:49" ht="15" customHeight="1" x14ac:dyDescent="0.35">
      <c r="A41" s="19" t="s">
        <v>63</v>
      </c>
      <c r="B41" s="20" t="s">
        <v>29</v>
      </c>
      <c r="C41" s="21">
        <v>21</v>
      </c>
      <c r="D41" s="21">
        <v>250</v>
      </c>
      <c r="E41" s="22">
        <f>C41*D41</f>
        <v>5250</v>
      </c>
      <c r="F41" s="22">
        <f>+E41*655.957</f>
        <v>3443774.25</v>
      </c>
      <c r="G41" s="22"/>
      <c r="H41" s="20" t="s">
        <v>29</v>
      </c>
      <c r="I41" s="21">
        <v>62</v>
      </c>
      <c r="J41" s="21">
        <f>163989.25/2</f>
        <v>81994.625</v>
      </c>
      <c r="K41" s="21">
        <f t="shared" si="68"/>
        <v>125</v>
      </c>
      <c r="L41" s="22">
        <f t="shared" si="69"/>
        <v>5083666.75</v>
      </c>
      <c r="M41" s="22">
        <f t="shared" si="83"/>
        <v>7750</v>
      </c>
      <c r="N41" s="67"/>
      <c r="O41" s="67"/>
      <c r="P41" s="67">
        <f t="shared" si="70"/>
        <v>7750</v>
      </c>
      <c r="Q41" s="22">
        <v>849464</v>
      </c>
      <c r="R41" s="22">
        <f t="shared" si="71"/>
        <v>1294.9995197855958</v>
      </c>
      <c r="S41" s="22">
        <v>968524</v>
      </c>
      <c r="T41" s="22">
        <f t="shared" si="72"/>
        <v>1476.5053197084565</v>
      </c>
      <c r="U41" s="22">
        <f t="shared" si="73"/>
        <v>1817988</v>
      </c>
      <c r="V41" s="20">
        <f t="shared" si="74"/>
        <v>2771.5048394940522</v>
      </c>
      <c r="W41" s="30"/>
      <c r="X41" s="22">
        <f t="shared" si="75"/>
        <v>0</v>
      </c>
      <c r="Y41" s="22">
        <f t="shared" si="76"/>
        <v>1817988</v>
      </c>
      <c r="Z41" s="22">
        <f t="shared" si="77"/>
        <v>2771.5048394940522</v>
      </c>
      <c r="AA41" s="22">
        <f t="shared" si="78"/>
        <v>3265678.75</v>
      </c>
      <c r="AB41" s="22">
        <f t="shared" si="79"/>
        <v>4978.4951605059478</v>
      </c>
      <c r="AC41" s="21"/>
      <c r="AD41" s="21"/>
      <c r="AE41" s="21">
        <f t="shared" si="82"/>
        <v>4978.4951605059478</v>
      </c>
      <c r="AF41" s="81">
        <v>1500</v>
      </c>
      <c r="AG41" s="21"/>
      <c r="AH41" s="21"/>
      <c r="AI41" s="21">
        <f t="shared" si="80"/>
        <v>1500</v>
      </c>
      <c r="AJ41" s="21">
        <f t="shared" si="81"/>
        <v>3478.4951605059478</v>
      </c>
      <c r="AK41" s="21">
        <f t="shared" si="81"/>
        <v>0</v>
      </c>
      <c r="AL41" s="21">
        <f t="shared" si="81"/>
        <v>0</v>
      </c>
      <c r="AM41" s="108">
        <f t="shared" si="81"/>
        <v>3478.4951605059478</v>
      </c>
      <c r="AN41" s="21"/>
      <c r="AO41" s="21"/>
      <c r="AP41" s="21"/>
      <c r="AQ41" s="21"/>
      <c r="AR41" s="21"/>
      <c r="AS41" s="21"/>
      <c r="AT41" s="21"/>
      <c r="AU41" s="21"/>
      <c r="AV41" s="21"/>
      <c r="AW41" s="21"/>
    </row>
    <row r="42" spans="1:49" ht="15" customHeight="1" x14ac:dyDescent="0.35">
      <c r="A42" s="19" t="s">
        <v>64</v>
      </c>
      <c r="B42" s="20" t="s">
        <v>29</v>
      </c>
      <c r="C42" s="21"/>
      <c r="D42" s="21"/>
      <c r="E42" s="22"/>
      <c r="F42" s="22"/>
      <c r="G42" s="22"/>
      <c r="H42" s="20" t="s">
        <v>29</v>
      </c>
      <c r="I42" s="21">
        <v>36</v>
      </c>
      <c r="J42" s="21">
        <v>50000</v>
      </c>
      <c r="K42" s="21">
        <f t="shared" si="68"/>
        <v>76.224508618705187</v>
      </c>
      <c r="L42" s="22">
        <f>I42*J42</f>
        <v>1800000</v>
      </c>
      <c r="M42" s="22">
        <f t="shared" si="83"/>
        <v>2744.0823102733871</v>
      </c>
      <c r="N42" s="67"/>
      <c r="O42" s="67"/>
      <c r="P42" s="67">
        <f t="shared" si="70"/>
        <v>2744.0823102733871</v>
      </c>
      <c r="Q42" s="22"/>
      <c r="R42" s="22">
        <f t="shared" si="71"/>
        <v>0</v>
      </c>
      <c r="S42" s="22"/>
      <c r="T42" s="22">
        <f t="shared" si="72"/>
        <v>0</v>
      </c>
      <c r="U42" s="22">
        <f t="shared" si="73"/>
        <v>0</v>
      </c>
      <c r="V42" s="20">
        <f t="shared" si="74"/>
        <v>0</v>
      </c>
      <c r="W42" s="30"/>
      <c r="X42" s="22">
        <f t="shared" si="75"/>
        <v>0</v>
      </c>
      <c r="Y42" s="22">
        <f t="shared" si="76"/>
        <v>0</v>
      </c>
      <c r="Z42" s="22">
        <f t="shared" si="77"/>
        <v>0</v>
      </c>
      <c r="AA42" s="22">
        <f t="shared" si="78"/>
        <v>1800000</v>
      </c>
      <c r="AB42" s="22">
        <f t="shared" si="79"/>
        <v>2744.0823102733871</v>
      </c>
      <c r="AC42" s="21"/>
      <c r="AD42" s="21"/>
      <c r="AE42" s="21">
        <f>AB42</f>
        <v>2744.0823102733871</v>
      </c>
      <c r="AF42" s="81">
        <v>914.69410342446224</v>
      </c>
      <c r="AG42" s="21"/>
      <c r="AH42" s="21"/>
      <c r="AI42" s="21">
        <f t="shared" si="80"/>
        <v>914.69410342446224</v>
      </c>
      <c r="AJ42" s="21">
        <f t="shared" si="81"/>
        <v>1829.3882068489247</v>
      </c>
      <c r="AK42" s="21">
        <f t="shared" si="81"/>
        <v>0</v>
      </c>
      <c r="AL42" s="21">
        <f t="shared" si="81"/>
        <v>0</v>
      </c>
      <c r="AM42" s="108">
        <f t="shared" si="81"/>
        <v>1829.3882068489247</v>
      </c>
      <c r="AN42" s="21"/>
      <c r="AO42" s="21"/>
      <c r="AP42" s="21"/>
      <c r="AQ42" s="21"/>
      <c r="AR42" s="21"/>
      <c r="AS42" s="21"/>
      <c r="AT42" s="21"/>
      <c r="AU42" s="21"/>
      <c r="AV42" s="21"/>
      <c r="AW42" s="21"/>
    </row>
    <row r="43" spans="1:49" ht="15" customHeight="1" x14ac:dyDescent="0.35">
      <c r="A43" s="24" t="s">
        <v>42</v>
      </c>
      <c r="B43" s="31"/>
      <c r="C43" s="26"/>
      <c r="D43" s="26"/>
      <c r="E43" s="27">
        <f>SUM(E37:E42)</f>
        <v>23750</v>
      </c>
      <c r="F43" s="27">
        <f>E43*655.957</f>
        <v>15578978.75</v>
      </c>
      <c r="G43" s="28">
        <f>F43/$F$159</f>
        <v>2.1766402741418132E-2</v>
      </c>
      <c r="H43" s="31"/>
      <c r="I43" s="26"/>
      <c r="J43" s="26"/>
      <c r="K43" s="26"/>
      <c r="L43" s="27">
        <f>SUM(L37:L42)</f>
        <v>22889020.600400001</v>
      </c>
      <c r="M43" s="27">
        <f>SUM(M37:M42)</f>
        <v>34894.086960578206</v>
      </c>
      <c r="N43" s="68">
        <f t="shared" ref="N43:P43" si="84">SUM(N37:N42)</f>
        <v>0</v>
      </c>
      <c r="O43" s="68">
        <f t="shared" si="84"/>
        <v>0</v>
      </c>
      <c r="P43" s="68">
        <f t="shared" si="84"/>
        <v>34894.086960578206</v>
      </c>
      <c r="Q43" s="27">
        <f>SUM(Q37:Q42)</f>
        <v>4790454</v>
      </c>
      <c r="R43" s="27">
        <f t="shared" ref="R43:AB43" si="85">SUM(R37:R42)</f>
        <v>7303.0000442102155</v>
      </c>
      <c r="S43" s="27">
        <f t="shared" si="85"/>
        <v>3216361</v>
      </c>
      <c r="T43" s="27">
        <f t="shared" si="85"/>
        <v>4903.3107353073447</v>
      </c>
      <c r="U43" s="27">
        <f t="shared" si="85"/>
        <v>8006815</v>
      </c>
      <c r="V43" s="27">
        <f t="shared" si="85"/>
        <v>12206.31077951756</v>
      </c>
      <c r="W43" s="27">
        <f t="shared" si="85"/>
        <v>4338500</v>
      </c>
      <c r="X43" s="27">
        <f t="shared" si="85"/>
        <v>6614.0006128450495</v>
      </c>
      <c r="Y43" s="27">
        <f t="shared" si="85"/>
        <v>12345315</v>
      </c>
      <c r="Z43" s="27">
        <f t="shared" si="85"/>
        <v>18820.311392362612</v>
      </c>
      <c r="AA43" s="27">
        <f>SUM(AA37:AA42)</f>
        <v>10543705.600400001</v>
      </c>
      <c r="AB43" s="27">
        <f t="shared" si="85"/>
        <v>16073.7755682156</v>
      </c>
      <c r="AC43" s="27">
        <f t="shared" ref="AC43:AM43" si="86">SUM(AC37:AC42)</f>
        <v>0</v>
      </c>
      <c r="AD43" s="27">
        <f t="shared" si="86"/>
        <v>0</v>
      </c>
      <c r="AE43" s="27">
        <f t="shared" si="86"/>
        <v>16073.7755682156</v>
      </c>
      <c r="AF43" s="82">
        <v>6614.6950034834599</v>
      </c>
      <c r="AG43" s="27">
        <f t="shared" si="86"/>
        <v>0</v>
      </c>
      <c r="AH43" s="27">
        <f t="shared" si="86"/>
        <v>0</v>
      </c>
      <c r="AI43" s="27">
        <f t="shared" si="86"/>
        <v>6614.6950034834599</v>
      </c>
      <c r="AJ43" s="27">
        <f t="shared" si="86"/>
        <v>9459.0805647321395</v>
      </c>
      <c r="AK43" s="27">
        <f t="shared" si="86"/>
        <v>0</v>
      </c>
      <c r="AL43" s="27">
        <f t="shared" si="86"/>
        <v>0</v>
      </c>
      <c r="AM43" s="111">
        <f t="shared" si="86"/>
        <v>9459.0805647321395</v>
      </c>
      <c r="AN43" s="33"/>
      <c r="AO43" s="33"/>
      <c r="AP43" s="33"/>
      <c r="AQ43" s="33"/>
      <c r="AR43" s="111">
        <f t="shared" ref="AR43:AW43" si="87">SUM(AR37:AR42)</f>
        <v>0</v>
      </c>
      <c r="AS43" s="111">
        <f t="shared" si="87"/>
        <v>0</v>
      </c>
      <c r="AT43" s="111">
        <f t="shared" si="87"/>
        <v>0</v>
      </c>
      <c r="AU43" s="111">
        <f t="shared" si="87"/>
        <v>0</v>
      </c>
      <c r="AV43" s="111">
        <f t="shared" si="87"/>
        <v>0</v>
      </c>
      <c r="AW43" s="111">
        <f t="shared" si="87"/>
        <v>0</v>
      </c>
    </row>
    <row r="44" spans="1:49" ht="15" customHeight="1" collapsed="1" x14ac:dyDescent="0.35">
      <c r="A44" s="24" t="s">
        <v>65</v>
      </c>
      <c r="B44" s="31"/>
      <c r="C44" s="26"/>
      <c r="D44" s="26"/>
      <c r="E44" s="27">
        <f>E35+E43</f>
        <v>47500</v>
      </c>
      <c r="F44" s="27">
        <f>+E44*655.957</f>
        <v>31157957.5</v>
      </c>
      <c r="G44" s="28">
        <f>F44/$F$159</f>
        <v>4.3532805482836265E-2</v>
      </c>
      <c r="H44" s="25"/>
      <c r="I44" s="26"/>
      <c r="J44" s="26"/>
      <c r="K44" s="26"/>
      <c r="L44" s="27">
        <f>L35+L43</f>
        <v>52760111.862000003</v>
      </c>
      <c r="M44" s="27">
        <f>M35+M43</f>
        <v>80432.272026977385</v>
      </c>
      <c r="N44" s="68">
        <f t="shared" ref="N44:P44" si="88">N35+N43</f>
        <v>0</v>
      </c>
      <c r="O44" s="68">
        <f t="shared" si="88"/>
        <v>45538.185066399172</v>
      </c>
      <c r="P44" s="68">
        <f t="shared" si="88"/>
        <v>34894.086960578206</v>
      </c>
      <c r="Q44" s="27">
        <f>Q35+Q43</f>
        <v>11500354</v>
      </c>
      <c r="R44" s="27">
        <f t="shared" ref="R44:AB44" si="89">R35+R43</f>
        <v>17532.176651823214</v>
      </c>
      <c r="S44" s="27">
        <f t="shared" si="89"/>
        <v>6955315</v>
      </c>
      <c r="T44" s="27">
        <f t="shared" si="89"/>
        <v>10603.309363266189</v>
      </c>
      <c r="U44" s="27">
        <f t="shared" si="89"/>
        <v>18455669</v>
      </c>
      <c r="V44" s="27">
        <f t="shared" si="89"/>
        <v>28135.486015089406</v>
      </c>
      <c r="W44" s="27">
        <f t="shared" si="89"/>
        <v>9277456</v>
      </c>
      <c r="X44" s="27">
        <f t="shared" si="89"/>
        <v>14143.390496633165</v>
      </c>
      <c r="Y44" s="27">
        <f t="shared" si="89"/>
        <v>27733125</v>
      </c>
      <c r="Z44" s="27">
        <f t="shared" si="89"/>
        <v>42278.87651172257</v>
      </c>
      <c r="AA44" s="27">
        <f>AA35+AA43</f>
        <v>25026986.862</v>
      </c>
      <c r="AB44" s="27">
        <f t="shared" si="89"/>
        <v>38153.395515254808</v>
      </c>
      <c r="AC44" s="27">
        <f t="shared" ref="AC44:AM44" si="90">AC35+AC43</f>
        <v>0</v>
      </c>
      <c r="AD44" s="27">
        <f t="shared" si="90"/>
        <v>22079.619947039209</v>
      </c>
      <c r="AE44" s="27">
        <f t="shared" si="90"/>
        <v>16073.7755682156</v>
      </c>
      <c r="AF44" s="82">
        <v>14144.084110391383</v>
      </c>
      <c r="AG44" s="27">
        <f t="shared" si="90"/>
        <v>0</v>
      </c>
      <c r="AH44" s="27">
        <f t="shared" si="90"/>
        <v>7529.3891069079227</v>
      </c>
      <c r="AI44" s="27">
        <f t="shared" si="90"/>
        <v>6614.6950034834599</v>
      </c>
      <c r="AJ44" s="27">
        <f t="shared" si="90"/>
        <v>24009.311404863423</v>
      </c>
      <c r="AK44" s="27">
        <f t="shared" si="90"/>
        <v>0</v>
      </c>
      <c r="AL44" s="27">
        <f t="shared" si="90"/>
        <v>14550.230840131286</v>
      </c>
      <c r="AM44" s="110">
        <f t="shared" si="90"/>
        <v>9459.0805647321395</v>
      </c>
      <c r="AN44" s="27"/>
      <c r="AO44" s="27"/>
      <c r="AP44" s="27"/>
      <c r="AQ44" s="27"/>
      <c r="AR44" s="110">
        <f t="shared" ref="AR44:AW44" si="91">AR35+AR43</f>
        <v>0</v>
      </c>
      <c r="AS44" s="110">
        <f t="shared" si="91"/>
        <v>0</v>
      </c>
      <c r="AT44" s="110">
        <f t="shared" si="91"/>
        <v>0</v>
      </c>
      <c r="AU44" s="110">
        <f t="shared" si="91"/>
        <v>0</v>
      </c>
      <c r="AV44" s="110">
        <f t="shared" si="91"/>
        <v>0</v>
      </c>
      <c r="AW44" s="110">
        <f t="shared" si="91"/>
        <v>0</v>
      </c>
    </row>
    <row r="45" spans="1:49" ht="15" customHeight="1" x14ac:dyDescent="0.35">
      <c r="A45" s="15" t="s">
        <v>66</v>
      </c>
      <c r="B45" s="16" t="s">
        <v>67</v>
      </c>
      <c r="C45" s="17"/>
      <c r="D45" s="17"/>
      <c r="E45" s="18"/>
      <c r="F45" s="22">
        <f t="shared" si="0"/>
        <v>0</v>
      </c>
      <c r="G45" s="22"/>
      <c r="H45" s="16" t="s">
        <v>67</v>
      </c>
      <c r="I45" s="17"/>
      <c r="J45" s="17"/>
      <c r="K45" s="17"/>
      <c r="L45" s="18"/>
      <c r="M45" s="18"/>
      <c r="N45" s="67"/>
      <c r="O45" s="67"/>
      <c r="P45" s="67"/>
      <c r="Q45" s="18"/>
      <c r="R45" s="18"/>
      <c r="S45" s="18"/>
      <c r="T45" s="18"/>
      <c r="U45" s="18"/>
      <c r="V45" s="16" t="s">
        <v>67</v>
      </c>
      <c r="W45" s="18"/>
      <c r="X45" s="18"/>
      <c r="Y45" s="39">
        <f>Y44+AA44</f>
        <v>52760111.862000003</v>
      </c>
      <c r="Z45" s="18"/>
      <c r="AA45" s="18"/>
      <c r="AB45" s="18"/>
      <c r="AC45" s="21"/>
      <c r="AD45" s="21"/>
      <c r="AE45" s="21"/>
      <c r="AF45" s="83"/>
      <c r="AG45" s="21"/>
      <c r="AH45" s="21"/>
      <c r="AI45" s="21"/>
      <c r="AJ45" s="21"/>
      <c r="AK45" s="21"/>
      <c r="AL45" s="21"/>
      <c r="AM45" s="108"/>
      <c r="AN45" s="21"/>
      <c r="AO45" s="21"/>
      <c r="AP45" s="21"/>
      <c r="AQ45" s="21"/>
      <c r="AR45" s="21"/>
      <c r="AS45" s="21"/>
      <c r="AT45" s="21"/>
      <c r="AU45" s="21"/>
      <c r="AV45" s="21"/>
      <c r="AW45" s="21"/>
    </row>
    <row r="46" spans="1:49" ht="15" customHeight="1" x14ac:dyDescent="0.35">
      <c r="A46" s="19" t="s">
        <v>68</v>
      </c>
      <c r="B46" s="20" t="s">
        <v>69</v>
      </c>
      <c r="C46" s="21">
        <v>4</v>
      </c>
      <c r="D46" s="21">
        <v>5000</v>
      </c>
      <c r="E46" s="22">
        <f>C46*D46</f>
        <v>20000</v>
      </c>
      <c r="F46" s="22">
        <f t="shared" si="0"/>
        <v>13119140</v>
      </c>
      <c r="G46" s="22"/>
      <c r="H46" s="20" t="s">
        <v>69</v>
      </c>
      <c r="I46" s="21">
        <v>5</v>
      </c>
      <c r="J46" s="21">
        <v>3279785</v>
      </c>
      <c r="K46" s="21">
        <f>J46/$B$2</f>
        <v>5000</v>
      </c>
      <c r="L46" s="22">
        <f t="shared" ref="L46:L47" si="92">I46*J46</f>
        <v>16398925</v>
      </c>
      <c r="M46" s="22">
        <f>+L46/655.957</f>
        <v>25000</v>
      </c>
      <c r="N46" s="67"/>
      <c r="O46" s="67">
        <f>M46</f>
        <v>25000</v>
      </c>
      <c r="P46" s="67"/>
      <c r="Q46" s="22"/>
      <c r="R46" s="22">
        <f t="shared" ref="R46:R49" si="93">+Q46/655.957</f>
        <v>0</v>
      </c>
      <c r="S46" s="22">
        <v>3250000</v>
      </c>
      <c r="T46" s="22">
        <f t="shared" ref="T46:T49" si="94">+S46/655.957</f>
        <v>4954.5930602158378</v>
      </c>
      <c r="U46" s="22">
        <f t="shared" ref="U46:U49" si="95">Q46+S46</f>
        <v>3250000</v>
      </c>
      <c r="V46" s="20">
        <f t="shared" ref="V46:V49" si="96">+U46/655.957</f>
        <v>4954.5930602158378</v>
      </c>
      <c r="W46" s="22">
        <v>3835000</v>
      </c>
      <c r="X46" s="22">
        <f t="shared" ref="X46:X49" si="97">+W46/655.957</f>
        <v>5846.4198110546877</v>
      </c>
      <c r="Y46" s="22">
        <f>+U46+W46</f>
        <v>7085000</v>
      </c>
      <c r="Z46" s="22">
        <f t="shared" ref="Z46:Z49" si="98">+Y46/655.957</f>
        <v>10801.012871270525</v>
      </c>
      <c r="AA46" s="22">
        <f>+L46-Y46</f>
        <v>9313925</v>
      </c>
      <c r="AB46" s="22">
        <f t="shared" ref="AB46:AB49" si="99">+AA46/655.957</f>
        <v>14198.987128729475</v>
      </c>
      <c r="AC46" s="21"/>
      <c r="AD46" s="21">
        <f>AB46</f>
        <v>14198.987128729475</v>
      </c>
      <c r="AE46" s="21"/>
      <c r="AF46" s="81">
        <v>5000</v>
      </c>
      <c r="AG46" s="21"/>
      <c r="AH46" s="21">
        <f>AF46</f>
        <v>5000</v>
      </c>
      <c r="AI46" s="21"/>
      <c r="AJ46" s="21">
        <f t="shared" ref="AJ46:AM49" si="100">AB46-AF46</f>
        <v>9198.9871287294754</v>
      </c>
      <c r="AK46" s="21">
        <f t="shared" si="100"/>
        <v>0</v>
      </c>
      <c r="AL46" s="23">
        <f t="shared" si="100"/>
        <v>9198.9871287294754</v>
      </c>
      <c r="AM46" s="108">
        <f t="shared" si="100"/>
        <v>0</v>
      </c>
      <c r="AN46" s="21"/>
      <c r="AO46" s="21"/>
      <c r="AP46" s="21"/>
      <c r="AQ46" s="21"/>
      <c r="AR46" s="21"/>
      <c r="AS46" s="21"/>
      <c r="AT46" s="21"/>
      <c r="AU46" s="21"/>
      <c r="AV46" s="21"/>
      <c r="AW46" s="21"/>
    </row>
    <row r="47" spans="1:49" ht="15" customHeight="1" x14ac:dyDescent="0.35">
      <c r="A47" s="32" t="s">
        <v>70</v>
      </c>
      <c r="B47" s="20" t="s">
        <v>71</v>
      </c>
      <c r="C47" s="21">
        <v>4</v>
      </c>
      <c r="D47" s="21">
        <v>2029</v>
      </c>
      <c r="E47" s="22">
        <f>C47*D47</f>
        <v>8116</v>
      </c>
      <c r="F47" s="22">
        <f t="shared" si="0"/>
        <v>5323747.0120000001</v>
      </c>
      <c r="G47" s="22"/>
      <c r="H47" s="20" t="s">
        <v>71</v>
      </c>
      <c r="I47" s="21">
        <v>5</v>
      </c>
      <c r="J47" s="21">
        <v>1330937</v>
      </c>
      <c r="K47" s="21">
        <f>J47/$B$2</f>
        <v>2029.0003765490726</v>
      </c>
      <c r="L47" s="22">
        <f t="shared" si="92"/>
        <v>6654685</v>
      </c>
      <c r="M47" s="22">
        <f>+L47/655.957</f>
        <v>10145.001882745362</v>
      </c>
      <c r="N47" s="67"/>
      <c r="O47" s="67">
        <f>M47</f>
        <v>10145.001882745362</v>
      </c>
      <c r="P47" s="67"/>
      <c r="Q47" s="22">
        <v>790628</v>
      </c>
      <c r="R47" s="22">
        <f t="shared" si="93"/>
        <v>1205.3046160037929</v>
      </c>
      <c r="S47" s="22">
        <v>669361</v>
      </c>
      <c r="T47" s="22">
        <f t="shared" si="94"/>
        <v>1020.4342662705025</v>
      </c>
      <c r="U47" s="22">
        <f t="shared" si="95"/>
        <v>1459989</v>
      </c>
      <c r="V47" s="20">
        <f t="shared" si="96"/>
        <v>2225.7388822742955</v>
      </c>
      <c r="W47" s="22">
        <v>1281031</v>
      </c>
      <c r="X47" s="22">
        <f t="shared" si="97"/>
        <v>1952.9191700065705</v>
      </c>
      <c r="Y47" s="22">
        <f>+U47+W47</f>
        <v>2741020</v>
      </c>
      <c r="Z47" s="22">
        <f t="shared" si="98"/>
        <v>4178.6580522808663</v>
      </c>
      <c r="AA47" s="22">
        <f>+L47-Y47</f>
        <v>3913665</v>
      </c>
      <c r="AB47" s="22">
        <f t="shared" si="99"/>
        <v>5966.3438304644969</v>
      </c>
      <c r="AC47" s="21"/>
      <c r="AD47" s="21">
        <f t="shared" ref="AD47:AD49" si="101">AB47</f>
        <v>5966.3438304644969</v>
      </c>
      <c r="AE47" s="21"/>
      <c r="AF47" s="81">
        <v>2029.0003765490726</v>
      </c>
      <c r="AG47" s="21"/>
      <c r="AH47" s="21">
        <f t="shared" ref="AH47:AH49" si="102">AF47</f>
        <v>2029.0003765490726</v>
      </c>
      <c r="AI47" s="21"/>
      <c r="AJ47" s="21">
        <f t="shared" si="100"/>
        <v>3937.3434539154241</v>
      </c>
      <c r="AK47" s="21">
        <f t="shared" si="100"/>
        <v>0</v>
      </c>
      <c r="AL47" s="21">
        <f t="shared" si="100"/>
        <v>3937.3434539154241</v>
      </c>
      <c r="AM47" s="108">
        <f t="shared" si="100"/>
        <v>0</v>
      </c>
      <c r="AN47" s="21"/>
      <c r="AO47" s="21"/>
      <c r="AP47" s="21"/>
      <c r="AQ47" s="21"/>
      <c r="AR47" s="21"/>
      <c r="AS47" s="21"/>
      <c r="AT47" s="21"/>
      <c r="AU47" s="21"/>
      <c r="AV47" s="21"/>
      <c r="AW47" s="21"/>
    </row>
    <row r="48" spans="1:49" ht="15" customHeight="1" x14ac:dyDescent="0.35">
      <c r="A48" s="19" t="s">
        <v>72</v>
      </c>
      <c r="B48" s="20" t="s">
        <v>29</v>
      </c>
      <c r="C48" s="21">
        <v>42</v>
      </c>
      <c r="D48" s="21">
        <v>50</v>
      </c>
      <c r="E48" s="22">
        <f>C48*D48</f>
        <v>2100</v>
      </c>
      <c r="F48" s="22">
        <f t="shared" si="0"/>
        <v>1377509.7</v>
      </c>
      <c r="G48" s="22"/>
      <c r="H48" s="20" t="s">
        <v>29</v>
      </c>
      <c r="I48" s="21">
        <v>62</v>
      </c>
      <c r="J48" s="21">
        <v>32798</v>
      </c>
      <c r="K48" s="21">
        <f>J48/$B$2</f>
        <v>50.000228673525854</v>
      </c>
      <c r="L48" s="22">
        <f>I48*J48</f>
        <v>2033476</v>
      </c>
      <c r="M48" s="22">
        <f t="shared" ref="M48" si="103">+L48/655.957</f>
        <v>3100.0141777586032</v>
      </c>
      <c r="N48" s="67"/>
      <c r="O48" s="67">
        <f>M48</f>
        <v>3100.0141777586032</v>
      </c>
      <c r="P48" s="67"/>
      <c r="Q48" s="22">
        <v>47700</v>
      </c>
      <c r="R48" s="22">
        <f t="shared" si="93"/>
        <v>72.718181222244752</v>
      </c>
      <c r="S48" s="22">
        <v>222900</v>
      </c>
      <c r="T48" s="22">
        <f t="shared" si="94"/>
        <v>339.80885942218777</v>
      </c>
      <c r="U48" s="22">
        <f t="shared" si="95"/>
        <v>270600</v>
      </c>
      <c r="V48" s="20">
        <f t="shared" si="96"/>
        <v>412.52704064443247</v>
      </c>
      <c r="W48" s="22">
        <v>421800</v>
      </c>
      <c r="X48" s="22">
        <f t="shared" si="97"/>
        <v>643.029954707397</v>
      </c>
      <c r="Y48" s="22">
        <f>+U48+W48</f>
        <v>692400</v>
      </c>
      <c r="Z48" s="22">
        <f t="shared" si="98"/>
        <v>1055.5569953518295</v>
      </c>
      <c r="AA48" s="22">
        <f>+L48-Y48</f>
        <v>1341076</v>
      </c>
      <c r="AB48" s="22">
        <f t="shared" si="99"/>
        <v>2044.4571824067737</v>
      </c>
      <c r="AC48" s="21"/>
      <c r="AD48" s="21">
        <f t="shared" si="101"/>
        <v>2044.4571824067737</v>
      </c>
      <c r="AE48" s="21"/>
      <c r="AF48" s="81">
        <v>600.0027440823103</v>
      </c>
      <c r="AG48" s="21"/>
      <c r="AH48" s="21">
        <f t="shared" si="102"/>
        <v>600.0027440823103</v>
      </c>
      <c r="AI48" s="21"/>
      <c r="AJ48" s="21">
        <f t="shared" si="100"/>
        <v>1444.4544383244634</v>
      </c>
      <c r="AK48" s="21">
        <f t="shared" si="100"/>
        <v>0</v>
      </c>
      <c r="AL48" s="21">
        <f t="shared" si="100"/>
        <v>1444.4544383244634</v>
      </c>
      <c r="AM48" s="108">
        <f t="shared" si="100"/>
        <v>0</v>
      </c>
      <c r="AN48" s="21"/>
      <c r="AO48" s="21"/>
      <c r="AP48" s="21"/>
      <c r="AQ48" s="21"/>
      <c r="AR48" s="21"/>
      <c r="AS48" s="21"/>
      <c r="AT48" s="21"/>
      <c r="AU48" s="21"/>
      <c r="AV48" s="21"/>
      <c r="AW48" s="21"/>
    </row>
    <row r="49" spans="1:49" ht="15" customHeight="1" x14ac:dyDescent="0.35">
      <c r="A49" s="19" t="s">
        <v>73</v>
      </c>
      <c r="B49" s="20" t="s">
        <v>71</v>
      </c>
      <c r="C49" s="21">
        <v>4</v>
      </c>
      <c r="D49" s="21">
        <v>2000</v>
      </c>
      <c r="E49" s="22">
        <f>C49*D49</f>
        <v>8000</v>
      </c>
      <c r="F49" s="22">
        <f t="shared" si="0"/>
        <v>5247656</v>
      </c>
      <c r="G49" s="22"/>
      <c r="H49" s="20" t="s">
        <v>74</v>
      </c>
      <c r="I49" s="21">
        <v>0</v>
      </c>
      <c r="J49" s="21">
        <f>2000*B2</f>
        <v>1311914</v>
      </c>
      <c r="K49" s="21">
        <f>J49/$B$2</f>
        <v>2000</v>
      </c>
      <c r="L49" s="22">
        <f t="shared" ref="L49" si="104">I49*J49</f>
        <v>0</v>
      </c>
      <c r="M49" s="22">
        <f>+L49/655.957</f>
        <v>0</v>
      </c>
      <c r="N49" s="67"/>
      <c r="O49" s="67">
        <f>M49</f>
        <v>0</v>
      </c>
      <c r="P49" s="67"/>
      <c r="Q49" s="22"/>
      <c r="R49" s="22">
        <f t="shared" si="93"/>
        <v>0</v>
      </c>
      <c r="S49" s="22"/>
      <c r="T49" s="22">
        <f t="shared" si="94"/>
        <v>0</v>
      </c>
      <c r="U49" s="22">
        <f t="shared" si="95"/>
        <v>0</v>
      </c>
      <c r="V49" s="20">
        <f t="shared" si="96"/>
        <v>0</v>
      </c>
      <c r="W49" s="22"/>
      <c r="X49" s="22">
        <f t="shared" si="97"/>
        <v>0</v>
      </c>
      <c r="Y49" s="22">
        <f>+U49+W49</f>
        <v>0</v>
      </c>
      <c r="Z49" s="22">
        <f t="shared" si="98"/>
        <v>0</v>
      </c>
      <c r="AA49" s="22">
        <f>+L49-Y49</f>
        <v>0</v>
      </c>
      <c r="AB49" s="22">
        <f t="shared" si="99"/>
        <v>0</v>
      </c>
      <c r="AC49" s="21"/>
      <c r="AD49" s="21">
        <f t="shared" si="101"/>
        <v>0</v>
      </c>
      <c r="AE49" s="21"/>
      <c r="AF49" s="81">
        <v>0</v>
      </c>
      <c r="AG49" s="21"/>
      <c r="AH49" s="21">
        <f t="shared" si="102"/>
        <v>0</v>
      </c>
      <c r="AI49" s="21"/>
      <c r="AJ49" s="21">
        <f t="shared" si="100"/>
        <v>0</v>
      </c>
      <c r="AK49" s="21">
        <f t="shared" si="100"/>
        <v>0</v>
      </c>
      <c r="AL49" s="21">
        <f t="shared" si="100"/>
        <v>0</v>
      </c>
      <c r="AM49" s="108">
        <f t="shared" si="100"/>
        <v>0</v>
      </c>
      <c r="AN49" s="21"/>
      <c r="AO49" s="21"/>
      <c r="AP49" s="21"/>
      <c r="AQ49" s="21"/>
      <c r="AR49" s="21"/>
      <c r="AS49" s="21"/>
      <c r="AT49" s="21"/>
      <c r="AU49" s="21"/>
      <c r="AV49" s="21"/>
      <c r="AW49" s="21"/>
    </row>
    <row r="50" spans="1:49" ht="15" customHeight="1" collapsed="1" x14ac:dyDescent="0.35">
      <c r="A50" s="24" t="s">
        <v>75</v>
      </c>
      <c r="B50" s="25"/>
      <c r="C50" s="26"/>
      <c r="D50" s="26"/>
      <c r="E50" s="27">
        <f>SUM(E46:E49)</f>
        <v>38216</v>
      </c>
      <c r="F50" s="27">
        <f>+E50*655.957</f>
        <v>25068052.712000001</v>
      </c>
      <c r="G50" s="28">
        <f>F50/$F$159</f>
        <v>3.5024204091201494E-2</v>
      </c>
      <c r="H50" s="25"/>
      <c r="I50" s="26"/>
      <c r="J50" s="26"/>
      <c r="K50" s="26"/>
      <c r="L50" s="27">
        <f>SUM(L46:L49)</f>
        <v>25087086</v>
      </c>
      <c r="M50" s="27">
        <f>SUM(M46:M49)</f>
        <v>38245.016060503964</v>
      </c>
      <c r="N50" s="68">
        <f t="shared" ref="N50:P50" si="105">SUM(N46:N49)</f>
        <v>0</v>
      </c>
      <c r="O50" s="68">
        <f t="shared" si="105"/>
        <v>38245.016060503964</v>
      </c>
      <c r="P50" s="68">
        <f t="shared" si="105"/>
        <v>0</v>
      </c>
      <c r="Q50" s="27">
        <f>SUM(Q46:Q49)</f>
        <v>838328</v>
      </c>
      <c r="R50" s="27">
        <f t="shared" ref="R50:X50" si="106">SUM(R46:R49)</f>
        <v>1278.0227972260377</v>
      </c>
      <c r="S50" s="27">
        <f t="shared" si="106"/>
        <v>4142261</v>
      </c>
      <c r="T50" s="27">
        <f t="shared" si="106"/>
        <v>6314.836185908528</v>
      </c>
      <c r="U50" s="27">
        <f t="shared" si="106"/>
        <v>4980589</v>
      </c>
      <c r="V50" s="27">
        <f t="shared" si="106"/>
        <v>7592.8589831345653</v>
      </c>
      <c r="W50" s="27">
        <f>SUM(W46:W49)</f>
        <v>5537831</v>
      </c>
      <c r="X50" s="27">
        <f t="shared" si="106"/>
        <v>8442.3689357686544</v>
      </c>
      <c r="Y50" s="27">
        <f>SUM(Y46:Y49)</f>
        <v>10518420</v>
      </c>
      <c r="Z50" s="27">
        <f t="shared" ref="Z50:AM50" si="107">SUM(Z46:Z49)</f>
        <v>16035.227918903222</v>
      </c>
      <c r="AA50" s="27">
        <f>SUM(AA46:AA49)</f>
        <v>14568666</v>
      </c>
      <c r="AB50" s="27">
        <f t="shared" si="107"/>
        <v>22209.788141600748</v>
      </c>
      <c r="AC50" s="27">
        <f t="shared" si="107"/>
        <v>0</v>
      </c>
      <c r="AD50" s="27">
        <f t="shared" si="107"/>
        <v>22209.788141600748</v>
      </c>
      <c r="AE50" s="27">
        <f t="shared" si="107"/>
        <v>0</v>
      </c>
      <c r="AF50" s="82">
        <v>7629.0031206313834</v>
      </c>
      <c r="AG50" s="27">
        <f t="shared" si="107"/>
        <v>0</v>
      </c>
      <c r="AH50" s="27">
        <f t="shared" si="107"/>
        <v>7629.0031206313834</v>
      </c>
      <c r="AI50" s="27">
        <f t="shared" si="107"/>
        <v>0</v>
      </c>
      <c r="AJ50" s="27">
        <f t="shared" si="107"/>
        <v>14580.785020969362</v>
      </c>
      <c r="AK50" s="27">
        <f t="shared" si="107"/>
        <v>0</v>
      </c>
      <c r="AL50" s="27">
        <f t="shared" si="107"/>
        <v>14580.785020969362</v>
      </c>
      <c r="AM50" s="110">
        <f t="shared" si="107"/>
        <v>0</v>
      </c>
      <c r="AN50" s="27"/>
      <c r="AO50" s="27"/>
      <c r="AP50" s="27"/>
      <c r="AQ50" s="27"/>
      <c r="AR50" s="110">
        <f t="shared" ref="AR50:AW50" si="108">SUM(AR46:AR49)</f>
        <v>0</v>
      </c>
      <c r="AS50" s="110">
        <f t="shared" si="108"/>
        <v>0</v>
      </c>
      <c r="AT50" s="110">
        <f t="shared" si="108"/>
        <v>0</v>
      </c>
      <c r="AU50" s="110">
        <f t="shared" si="108"/>
        <v>0</v>
      </c>
      <c r="AV50" s="110">
        <f t="shared" si="108"/>
        <v>0</v>
      </c>
      <c r="AW50" s="110">
        <f t="shared" si="108"/>
        <v>0</v>
      </c>
    </row>
    <row r="51" spans="1:49" ht="15" customHeight="1" x14ac:dyDescent="0.35">
      <c r="A51" s="15" t="s">
        <v>76</v>
      </c>
      <c r="B51" s="16"/>
      <c r="C51" s="17"/>
      <c r="D51" s="17"/>
      <c r="E51" s="18"/>
      <c r="F51" s="22">
        <f t="shared" ref="F51" si="109">+E51*655.957</f>
        <v>0</v>
      </c>
      <c r="G51" s="22"/>
      <c r="H51" s="16"/>
      <c r="I51" s="17"/>
      <c r="J51" s="17"/>
      <c r="K51" s="17"/>
      <c r="L51" s="18"/>
      <c r="M51" s="18"/>
      <c r="N51" s="67"/>
      <c r="O51" s="67"/>
      <c r="P51" s="67"/>
      <c r="Q51" s="18"/>
      <c r="R51" s="18"/>
      <c r="S51" s="18"/>
      <c r="T51" s="18"/>
      <c r="U51" s="18"/>
      <c r="V51" s="16"/>
      <c r="W51" s="18"/>
      <c r="X51" s="18"/>
      <c r="Y51" s="39">
        <f>Y50+AA50</f>
        <v>25087086</v>
      </c>
      <c r="Z51" s="18"/>
      <c r="AA51" s="18"/>
      <c r="AB51" s="18"/>
      <c r="AC51" s="21"/>
      <c r="AD51" s="21"/>
      <c r="AE51" s="21"/>
      <c r="AF51" s="83"/>
      <c r="AG51" s="21"/>
      <c r="AH51" s="21"/>
      <c r="AI51" s="21"/>
      <c r="AJ51" s="21"/>
      <c r="AK51" s="21"/>
      <c r="AL51" s="21"/>
      <c r="AM51" s="108"/>
      <c r="AN51" s="21"/>
      <c r="AO51" s="21"/>
      <c r="AP51" s="21"/>
      <c r="AQ51" s="21"/>
      <c r="AR51" s="21"/>
      <c r="AS51" s="21"/>
      <c r="AT51" s="21"/>
      <c r="AU51" s="21"/>
      <c r="AV51" s="21"/>
      <c r="AW51" s="21"/>
    </row>
    <row r="52" spans="1:49" ht="15" customHeight="1" x14ac:dyDescent="0.35">
      <c r="A52" s="19" t="s">
        <v>77</v>
      </c>
      <c r="B52" s="20"/>
      <c r="C52" s="21"/>
      <c r="D52" s="21"/>
      <c r="E52" s="22"/>
      <c r="F52" s="22"/>
      <c r="G52" s="22"/>
      <c r="H52" s="20" t="s">
        <v>78</v>
      </c>
      <c r="I52" s="21">
        <v>1</v>
      </c>
      <c r="J52" s="21">
        <v>2000000</v>
      </c>
      <c r="K52" s="21">
        <f>J52/$B$2</f>
        <v>3048.9803447482077</v>
      </c>
      <c r="L52" s="22">
        <f>I52*J52</f>
        <v>2000000</v>
      </c>
      <c r="M52" s="22">
        <f t="shared" ref="M52" si="110">+L52/655.957</f>
        <v>3048.9803447482077</v>
      </c>
      <c r="N52" s="67"/>
      <c r="O52" s="67">
        <f>M52</f>
        <v>3048.9803447482077</v>
      </c>
      <c r="P52" s="67"/>
      <c r="Q52" s="22"/>
      <c r="R52" s="22">
        <f>+Q52/655.957</f>
        <v>0</v>
      </c>
      <c r="S52" s="22"/>
      <c r="T52" s="22">
        <f>+S52/655.957</f>
        <v>0</v>
      </c>
      <c r="U52" s="22">
        <f>Q52+S52</f>
        <v>0</v>
      </c>
      <c r="V52" s="20">
        <f>+U52/655.957</f>
        <v>0</v>
      </c>
      <c r="W52" s="22">
        <v>1882000</v>
      </c>
      <c r="X52" s="22">
        <f>+W52/655.957</f>
        <v>2869.0905044080632</v>
      </c>
      <c r="Y52" s="22">
        <f>+U52+W52</f>
        <v>1882000</v>
      </c>
      <c r="Z52" s="22">
        <f>+Y52/655.957</f>
        <v>2869.0905044080632</v>
      </c>
      <c r="AA52" s="22">
        <f>+L52-Y52</f>
        <v>118000</v>
      </c>
      <c r="AB52" s="22">
        <f>+AA52/655.957</f>
        <v>179.88984034014425</v>
      </c>
      <c r="AC52" s="21"/>
      <c r="AD52" s="21">
        <f>AB52</f>
        <v>179.88984034014425</v>
      </c>
      <c r="AE52" s="21"/>
      <c r="AF52" s="81">
        <v>0</v>
      </c>
      <c r="AG52" s="21"/>
      <c r="AH52" s="21">
        <f>AF52</f>
        <v>0</v>
      </c>
      <c r="AI52" s="21"/>
      <c r="AJ52" s="21">
        <f>AB52-AF52</f>
        <v>179.88984034014425</v>
      </c>
      <c r="AK52" s="21">
        <f>AC52-AG52</f>
        <v>0</v>
      </c>
      <c r="AL52" s="21">
        <f>AD52-AH52</f>
        <v>179.88984034014425</v>
      </c>
      <c r="AM52" s="108">
        <f>AE52-AI52</f>
        <v>0</v>
      </c>
      <c r="AN52" s="21"/>
      <c r="AO52" s="21"/>
      <c r="AP52" s="21"/>
      <c r="AQ52" s="21"/>
      <c r="AR52" s="21"/>
      <c r="AS52" s="21"/>
      <c r="AT52" s="21"/>
      <c r="AU52" s="21"/>
      <c r="AV52" s="21"/>
      <c r="AW52" s="21"/>
    </row>
    <row r="53" spans="1:49" ht="15.65" customHeight="1" collapsed="1" x14ac:dyDescent="0.35">
      <c r="A53" s="24" t="s">
        <v>79</v>
      </c>
      <c r="B53" s="25"/>
      <c r="C53" s="26"/>
      <c r="D53" s="26"/>
      <c r="E53" s="27"/>
      <c r="F53" s="27"/>
      <c r="G53" s="33"/>
      <c r="H53" s="25"/>
      <c r="I53" s="26"/>
      <c r="J53" s="26"/>
      <c r="K53" s="26"/>
      <c r="L53" s="27">
        <f>SUM(L52:L52)</f>
        <v>2000000</v>
      </c>
      <c r="M53" s="27">
        <f>+L53/655.957</f>
        <v>3048.9803447482077</v>
      </c>
      <c r="N53" s="68">
        <f t="shared" ref="N53:P53" si="111">SUM(N52:N52)</f>
        <v>0</v>
      </c>
      <c r="O53" s="68">
        <f t="shared" si="111"/>
        <v>3048.9803447482077</v>
      </c>
      <c r="P53" s="68">
        <f t="shared" si="111"/>
        <v>0</v>
      </c>
      <c r="Q53" s="27">
        <f>SUM(Q52)</f>
        <v>0</v>
      </c>
      <c r="R53" s="27">
        <f t="shared" ref="R53:V53" si="112">SUM(R52)</f>
        <v>0</v>
      </c>
      <c r="S53" s="27">
        <f t="shared" si="112"/>
        <v>0</v>
      </c>
      <c r="T53" s="27">
        <f t="shared" si="112"/>
        <v>0</v>
      </c>
      <c r="U53" s="27">
        <f t="shared" si="112"/>
        <v>0</v>
      </c>
      <c r="V53" s="27">
        <f t="shared" si="112"/>
        <v>0</v>
      </c>
      <c r="W53" s="27">
        <f>SUM(W52)</f>
        <v>1882000</v>
      </c>
      <c r="X53" s="27">
        <f t="shared" ref="X53:AB53" si="113">+W53/655.957</f>
        <v>2869.0905044080632</v>
      </c>
      <c r="Y53" s="27">
        <f>SUM(Y52)</f>
        <v>1882000</v>
      </c>
      <c r="Z53" s="27">
        <f t="shared" si="113"/>
        <v>2869.0905044080632</v>
      </c>
      <c r="AA53" s="27">
        <f>SUM(AA52)</f>
        <v>118000</v>
      </c>
      <c r="AB53" s="27">
        <f t="shared" si="113"/>
        <v>179.88984034014425</v>
      </c>
      <c r="AC53" s="27">
        <f t="shared" ref="AC53:AM53" si="114">SUM(AC52)</f>
        <v>0</v>
      </c>
      <c r="AD53" s="27">
        <f t="shared" si="114"/>
        <v>179.88984034014425</v>
      </c>
      <c r="AE53" s="27">
        <f t="shared" si="114"/>
        <v>0</v>
      </c>
      <c r="AF53" s="82">
        <v>0</v>
      </c>
      <c r="AG53" s="27">
        <f t="shared" si="114"/>
        <v>0</v>
      </c>
      <c r="AH53" s="27">
        <f t="shared" si="114"/>
        <v>0</v>
      </c>
      <c r="AI53" s="27">
        <f t="shared" si="114"/>
        <v>0</v>
      </c>
      <c r="AJ53" s="27">
        <f t="shared" si="114"/>
        <v>179.88984034014425</v>
      </c>
      <c r="AK53" s="27">
        <f t="shared" si="114"/>
        <v>0</v>
      </c>
      <c r="AL53" s="27">
        <f t="shared" si="114"/>
        <v>179.88984034014425</v>
      </c>
      <c r="AM53" s="110">
        <f t="shared" si="114"/>
        <v>0</v>
      </c>
      <c r="AN53" s="27"/>
      <c r="AO53" s="27"/>
      <c r="AP53" s="27"/>
      <c r="AQ53" s="27"/>
      <c r="AR53" s="110">
        <f t="shared" ref="AR53:AW53" si="115">SUM(AR52)</f>
        <v>0</v>
      </c>
      <c r="AS53" s="110">
        <f t="shared" si="115"/>
        <v>0</v>
      </c>
      <c r="AT53" s="110">
        <f t="shared" si="115"/>
        <v>0</v>
      </c>
      <c r="AU53" s="110">
        <f t="shared" si="115"/>
        <v>0</v>
      </c>
      <c r="AV53" s="110">
        <f t="shared" si="115"/>
        <v>0</v>
      </c>
      <c r="AW53" s="110">
        <f t="shared" si="115"/>
        <v>0</v>
      </c>
    </row>
    <row r="54" spans="1:49" ht="26.15" customHeight="1" x14ac:dyDescent="0.35">
      <c r="A54" s="34" t="s">
        <v>80</v>
      </c>
      <c r="B54" s="35"/>
      <c r="C54" s="36"/>
      <c r="D54" s="36"/>
      <c r="E54" s="37">
        <f>E22+E26+E44+E50+E53</f>
        <v>403551</v>
      </c>
      <c r="F54" s="37">
        <f>F22+F26+F44+F50+F53</f>
        <v>264712103.30700001</v>
      </c>
      <c r="G54" s="37">
        <f>F54/$F$159</f>
        <v>0.36984646706113805</v>
      </c>
      <c r="H54" s="35"/>
      <c r="I54" s="36"/>
      <c r="J54" s="36"/>
      <c r="K54" s="36"/>
      <c r="L54" s="37">
        <f>L22+L26+L44+L50+L53</f>
        <v>422183744.26199996</v>
      </c>
      <c r="M54" s="37">
        <f>M22+M26+M44+M50+M53</f>
        <v>643614.96906352101</v>
      </c>
      <c r="N54" s="69">
        <f>N22+N26+N44+N53+N50</f>
        <v>52080.011342206883</v>
      </c>
      <c r="O54" s="69">
        <f>O22+O26+O44+O53+O50</f>
        <v>376685.01938633167</v>
      </c>
      <c r="P54" s="69">
        <f>P22+P26+P44+P53+P50</f>
        <v>214849.93833498232</v>
      </c>
      <c r="Q54" s="37">
        <f>Q22+Q26+Q44+Q50+Q53</f>
        <v>69080839.960000008</v>
      </c>
      <c r="R54" s="37">
        <f t="shared" ref="R54:Z54" si="116">R22+R26+R44+R50+R53</f>
        <v>105313.06161836827</v>
      </c>
      <c r="S54" s="37">
        <f t="shared" si="116"/>
        <v>67409191</v>
      </c>
      <c r="T54" s="37">
        <f t="shared" si="116"/>
        <v>102764.64920718888</v>
      </c>
      <c r="U54" s="37">
        <f t="shared" si="116"/>
        <v>136490030.96000001</v>
      </c>
      <c r="V54" s="37">
        <f t="shared" si="116"/>
        <v>208077.71082555721</v>
      </c>
      <c r="W54" s="37">
        <f t="shared" si="116"/>
        <v>86011520.5</v>
      </c>
      <c r="X54" s="37">
        <f t="shared" si="116"/>
        <v>131123.71771320378</v>
      </c>
      <c r="Y54" s="37">
        <f>Y22+Y26+Y44+Y50+Y53</f>
        <v>222501551.46000001</v>
      </c>
      <c r="Z54" s="37">
        <f t="shared" si="116"/>
        <v>339201.42853876093</v>
      </c>
      <c r="AA54" s="37">
        <f>AA22+AA26+AA44+AA50+AA53</f>
        <v>199682192.80199999</v>
      </c>
      <c r="AB54" s="37">
        <f>AB22+AB26+AB44+AB50+AB53</f>
        <v>304413.54052475997</v>
      </c>
      <c r="AC54" s="37">
        <f t="shared" ref="AC54:AL54" si="117">AC22+AC26+AC44+AC50+AC53</f>
        <v>26691.007947167269</v>
      </c>
      <c r="AD54" s="37">
        <f t="shared" si="117"/>
        <v>169538.02194595075</v>
      </c>
      <c r="AE54" s="37">
        <f t="shared" si="117"/>
        <v>108184.510631642</v>
      </c>
      <c r="AF54" s="84">
        <v>122783.80348224044</v>
      </c>
      <c r="AG54" s="37">
        <f t="shared" si="117"/>
        <v>10080.002195265848</v>
      </c>
      <c r="AH54" s="37">
        <f t="shared" si="117"/>
        <v>71258.94150134841</v>
      </c>
      <c r="AI54" s="37">
        <f t="shared" si="117"/>
        <v>41444.859785626184</v>
      </c>
      <c r="AJ54" s="37">
        <f t="shared" ref="AJ54" si="118">AJ22+AJ26+AJ44+AJ50+AJ53</f>
        <v>181629.73704251955</v>
      </c>
      <c r="AK54" s="37">
        <f t="shared" si="117"/>
        <v>16611.005751901423</v>
      </c>
      <c r="AL54" s="37">
        <f t="shared" si="117"/>
        <v>98279.08044460231</v>
      </c>
      <c r="AM54" s="112">
        <f>AM22+AM26+AM44+AM50+AM53</f>
        <v>66739.650846015822</v>
      </c>
      <c r="AN54" s="37"/>
      <c r="AO54" s="37"/>
      <c r="AP54" s="37"/>
      <c r="AQ54" s="37"/>
      <c r="AR54" s="112">
        <f t="shared" ref="AR54:AW54" si="119">AR22+AR26+AR44+AR50+AR53</f>
        <v>8816062.0800000001</v>
      </c>
      <c r="AS54" s="112">
        <f t="shared" si="119"/>
        <v>13440</v>
      </c>
      <c r="AT54" s="112">
        <f t="shared" si="119"/>
        <v>0</v>
      </c>
      <c r="AU54" s="112">
        <f t="shared" si="119"/>
        <v>0</v>
      </c>
      <c r="AV54" s="112">
        <f t="shared" si="119"/>
        <v>0</v>
      </c>
      <c r="AW54" s="112">
        <f t="shared" si="119"/>
        <v>0</v>
      </c>
    </row>
    <row r="55" spans="1:49" ht="18.5" customHeight="1" x14ac:dyDescent="0.35">
      <c r="A55" s="32"/>
      <c r="B55" s="38"/>
      <c r="C55" s="21"/>
      <c r="D55" s="21"/>
      <c r="E55" s="21"/>
      <c r="F55" s="21"/>
      <c r="G55" s="21"/>
      <c r="H55" s="21"/>
      <c r="I55" s="21"/>
      <c r="J55" s="21"/>
      <c r="K55" s="21"/>
      <c r="L55" s="21"/>
      <c r="M55" s="21"/>
      <c r="N55" s="70"/>
      <c r="O55" s="70"/>
      <c r="P55" s="70"/>
      <c r="Q55" s="21"/>
      <c r="R55" s="21"/>
      <c r="S55" s="21"/>
      <c r="T55" s="21"/>
      <c r="U55" s="21"/>
      <c r="V55" s="21"/>
      <c r="W55" s="21"/>
      <c r="X55" s="21"/>
      <c r="Y55" s="39">
        <f>Y54+AA54</f>
        <v>422183744.26199996</v>
      </c>
      <c r="Z55" s="23"/>
      <c r="AA55" s="23"/>
      <c r="AB55" s="23"/>
      <c r="AC55" s="21"/>
      <c r="AD55" s="21"/>
      <c r="AE55" s="21"/>
      <c r="AF55" s="125">
        <f t="shared" ref="AF55:AM55" si="120">AF54*655.957</f>
        <v>80540895.380799994</v>
      </c>
      <c r="AG55" s="125">
        <f t="shared" si="120"/>
        <v>6612048</v>
      </c>
      <c r="AH55" s="125">
        <f t="shared" si="120"/>
        <v>46742801.490400001</v>
      </c>
      <c r="AI55" s="125">
        <f t="shared" si="120"/>
        <v>27186045.890399996</v>
      </c>
      <c r="AJ55" s="125">
        <f t="shared" si="120"/>
        <v>119141297.42119999</v>
      </c>
      <c r="AK55" s="125">
        <f t="shared" si="120"/>
        <v>10896105.500000002</v>
      </c>
      <c r="AL55" s="125">
        <f t="shared" si="120"/>
        <v>64466850.771199994</v>
      </c>
      <c r="AM55" s="125">
        <f t="shared" si="120"/>
        <v>43778341.149999999</v>
      </c>
      <c r="AN55" s="21"/>
      <c r="AO55" s="21"/>
      <c r="AP55" s="21"/>
      <c r="AQ55" s="21"/>
      <c r="AR55" s="21"/>
      <c r="AS55" s="21"/>
      <c r="AT55" s="21"/>
      <c r="AU55" s="21"/>
      <c r="AV55" s="21"/>
      <c r="AW55" s="21"/>
    </row>
    <row r="56" spans="1:49" ht="28" customHeight="1" x14ac:dyDescent="0.35">
      <c r="A56" s="15" t="s">
        <v>81</v>
      </c>
      <c r="B56" s="20"/>
      <c r="C56" s="38"/>
      <c r="D56" s="38"/>
      <c r="E56" s="22"/>
      <c r="F56" s="22">
        <f t="shared" si="0"/>
        <v>0</v>
      </c>
      <c r="G56" s="22"/>
      <c r="H56" s="20"/>
      <c r="I56" s="38"/>
      <c r="J56" s="38"/>
      <c r="K56" s="38"/>
      <c r="L56" s="22"/>
      <c r="M56" s="22"/>
      <c r="N56" s="67"/>
      <c r="O56" s="67"/>
      <c r="P56" s="67"/>
      <c r="Q56" s="22"/>
      <c r="R56" s="22"/>
      <c r="S56" s="22"/>
      <c r="T56" s="22"/>
      <c r="U56" s="22"/>
      <c r="V56" s="20"/>
      <c r="W56" s="22"/>
      <c r="X56" s="22"/>
      <c r="Y56" s="22"/>
      <c r="Z56" s="22"/>
      <c r="AA56" s="22"/>
      <c r="AB56" s="22"/>
      <c r="AC56" s="21"/>
      <c r="AD56" s="21"/>
      <c r="AE56" s="21"/>
      <c r="AF56" s="21"/>
      <c r="AG56" s="21"/>
      <c r="AH56" s="21"/>
      <c r="AI56" s="21"/>
      <c r="AJ56" s="21"/>
      <c r="AK56" s="21"/>
      <c r="AL56" s="21"/>
      <c r="AM56" s="108"/>
      <c r="AN56" s="21"/>
      <c r="AO56" s="21"/>
      <c r="AP56" s="21"/>
      <c r="AQ56" s="21"/>
      <c r="AR56" s="21"/>
      <c r="AS56" s="21"/>
      <c r="AT56" s="21"/>
      <c r="AU56" s="21"/>
      <c r="AV56" s="21"/>
      <c r="AW56" s="21"/>
    </row>
    <row r="57" spans="1:49" ht="28" customHeight="1" x14ac:dyDescent="0.35">
      <c r="A57" s="40" t="s">
        <v>82</v>
      </c>
      <c r="B57" s="20" t="s">
        <v>83</v>
      </c>
      <c r="C57" s="21">
        <v>1</v>
      </c>
      <c r="D57" s="22">
        <v>15245</v>
      </c>
      <c r="E57" s="22">
        <f t="shared" ref="E57:E70" si="121">C57*D57</f>
        <v>15245</v>
      </c>
      <c r="F57" s="22">
        <f t="shared" si="0"/>
        <v>10000064.465</v>
      </c>
      <c r="G57" s="22"/>
      <c r="H57" s="20" t="s">
        <v>83</v>
      </c>
      <c r="I57" s="21">
        <v>1</v>
      </c>
      <c r="J57" s="22">
        <v>10000000</v>
      </c>
      <c r="K57" s="21">
        <f>J57/$B$2</f>
        <v>15244.901723741039</v>
      </c>
      <c r="L57" s="22">
        <f>I57*J57</f>
        <v>10000000</v>
      </c>
      <c r="M57" s="22">
        <f>+L57/655.957</f>
        <v>15244.901723741039</v>
      </c>
      <c r="N57" s="67"/>
      <c r="O57" s="67">
        <f>+M57</f>
        <v>15244.901723741039</v>
      </c>
      <c r="P57" s="67"/>
      <c r="Q57" s="22">
        <v>10129038</v>
      </c>
      <c r="R57" s="22">
        <f t="shared" ref="R57:R71" si="122">+Q57/655.957</f>
        <v>15441.618886603848</v>
      </c>
      <c r="S57" s="22"/>
      <c r="T57" s="22">
        <f t="shared" ref="T57:T71" si="123">+S57/655.957</f>
        <v>0</v>
      </c>
      <c r="U57" s="22">
        <f t="shared" ref="U57:U70" si="124">Q57+S57</f>
        <v>10129038</v>
      </c>
      <c r="V57" s="20">
        <f t="shared" ref="V57:V71" si="125">+U57/655.957</f>
        <v>15441.618886603848</v>
      </c>
      <c r="W57" s="22"/>
      <c r="X57" s="22">
        <f t="shared" ref="X57:X71" si="126">+W57/655.957</f>
        <v>0</v>
      </c>
      <c r="Y57" s="22">
        <f t="shared" ref="Y57:Y71" si="127">+U57+W57</f>
        <v>10129038</v>
      </c>
      <c r="Z57" s="22">
        <f t="shared" ref="Z57:Z71" si="128">+Y57/655.957</f>
        <v>15441.618886603848</v>
      </c>
      <c r="AA57" s="22">
        <f t="shared" ref="AA57:AA71" si="129">+L57-Y57</f>
        <v>-129038</v>
      </c>
      <c r="AB57" s="22">
        <f t="shared" ref="AB57:AB61" si="130">+AA57/655.957</f>
        <v>-196.7171628628096</v>
      </c>
      <c r="AC57" s="21"/>
      <c r="AD57" s="21">
        <f>AB57</f>
        <v>-196.7171628628096</v>
      </c>
      <c r="AE57" s="21"/>
      <c r="AF57" s="21"/>
      <c r="AG57" s="21"/>
      <c r="AH57" s="21"/>
      <c r="AI57" s="21"/>
      <c r="AJ57" s="21">
        <f t="shared" ref="AJ57:AJ71" si="131">AB57-AF57</f>
        <v>-196.7171628628096</v>
      </c>
      <c r="AK57" s="21">
        <f t="shared" ref="AK57:AK71" si="132">AC57-AG57</f>
        <v>0</v>
      </c>
      <c r="AL57" s="21">
        <f t="shared" ref="AL57:AL71" si="133">AD57-AH57</f>
        <v>-196.7171628628096</v>
      </c>
      <c r="AM57" s="108">
        <f t="shared" ref="AM57:AM71" si="134">AE57-AI57</f>
        <v>0</v>
      </c>
      <c r="AN57" s="21"/>
      <c r="AO57" s="21"/>
      <c r="AP57" s="21"/>
      <c r="AQ57" s="21"/>
      <c r="AR57" s="21"/>
      <c r="AS57" s="21"/>
      <c r="AT57" s="21"/>
      <c r="AU57" s="21"/>
      <c r="AV57" s="21"/>
      <c r="AW57" s="21"/>
    </row>
    <row r="58" spans="1:49" ht="28" customHeight="1" x14ac:dyDescent="0.35">
      <c r="A58" s="40" t="s">
        <v>84</v>
      </c>
      <c r="B58" s="20" t="s">
        <v>83</v>
      </c>
      <c r="C58" s="21">
        <v>1</v>
      </c>
      <c r="D58" s="22">
        <v>3811.2254309352597</v>
      </c>
      <c r="E58" s="22">
        <f t="shared" si="121"/>
        <v>3811.2254309352597</v>
      </c>
      <c r="F58" s="22">
        <f t="shared" si="0"/>
        <v>2500000</v>
      </c>
      <c r="G58" s="22"/>
      <c r="H58" s="20" t="s">
        <v>83</v>
      </c>
      <c r="I58" s="21">
        <v>1</v>
      </c>
      <c r="J58" s="22">
        <f>3811.22543093526*655.957</f>
        <v>2500000.0000000005</v>
      </c>
      <c r="K58" s="21">
        <f>J58/$B$2</f>
        <v>3811.2254309352602</v>
      </c>
      <c r="L58" s="22">
        <f t="shared" ref="L58:L71" si="135">I58*J58</f>
        <v>2500000.0000000005</v>
      </c>
      <c r="M58" s="22">
        <f t="shared" ref="M58:M71" si="136">+L58/655.957</f>
        <v>3811.2254309352602</v>
      </c>
      <c r="N58" s="67"/>
      <c r="O58" s="67" t="s">
        <v>2</v>
      </c>
      <c r="P58" s="67">
        <f>M58</f>
        <v>3811.2254309352602</v>
      </c>
      <c r="Q58" s="22">
        <v>1347336</v>
      </c>
      <c r="R58" s="22">
        <f t="shared" si="122"/>
        <v>2054.0004908858355</v>
      </c>
      <c r="S58" s="22"/>
      <c r="T58" s="22">
        <f t="shared" si="123"/>
        <v>0</v>
      </c>
      <c r="U58" s="22">
        <f t="shared" si="124"/>
        <v>1347336</v>
      </c>
      <c r="V58" s="20">
        <f t="shared" si="125"/>
        <v>2054.0004908858355</v>
      </c>
      <c r="W58" s="22"/>
      <c r="X58" s="22">
        <f t="shared" si="126"/>
        <v>0</v>
      </c>
      <c r="Y58" s="22">
        <f t="shared" si="127"/>
        <v>1347336</v>
      </c>
      <c r="Z58" s="22">
        <f t="shared" si="128"/>
        <v>2054.0004908858355</v>
      </c>
      <c r="AA58" s="22">
        <f t="shared" si="129"/>
        <v>1152664.0000000005</v>
      </c>
      <c r="AB58" s="22">
        <f t="shared" si="130"/>
        <v>1757.2249400494247</v>
      </c>
      <c r="AC58" s="21"/>
      <c r="AD58" s="21"/>
      <c r="AE58" s="21">
        <f>AB58</f>
        <v>1757.2249400494247</v>
      </c>
      <c r="AF58" s="21"/>
      <c r="AG58" s="21"/>
      <c r="AH58" s="21"/>
      <c r="AI58" s="21"/>
      <c r="AJ58" s="21">
        <f t="shared" si="131"/>
        <v>1757.2249400494247</v>
      </c>
      <c r="AK58" s="21">
        <f t="shared" si="132"/>
        <v>0</v>
      </c>
      <c r="AL58" s="21">
        <f t="shared" si="133"/>
        <v>0</v>
      </c>
      <c r="AM58" s="108">
        <f t="shared" si="134"/>
        <v>1757.2249400494247</v>
      </c>
      <c r="AN58" s="21"/>
      <c r="AO58" s="21"/>
      <c r="AP58" s="21"/>
      <c r="AQ58" s="21"/>
      <c r="AR58" s="21"/>
      <c r="AS58" s="21"/>
      <c r="AT58" s="21"/>
      <c r="AU58" s="21"/>
      <c r="AV58" s="21"/>
      <c r="AW58" s="21"/>
    </row>
    <row r="59" spans="1:49" ht="28" customHeight="1" x14ac:dyDescent="0.35">
      <c r="A59" s="40" t="s">
        <v>85</v>
      </c>
      <c r="B59" s="20"/>
      <c r="C59" s="21"/>
      <c r="D59" s="22"/>
      <c r="E59" s="22"/>
      <c r="F59" s="22"/>
      <c r="G59" s="22"/>
      <c r="H59" s="20" t="s">
        <v>83</v>
      </c>
      <c r="I59" s="21">
        <v>1</v>
      </c>
      <c r="J59" s="22">
        <v>2500000</v>
      </c>
      <c r="K59" s="21">
        <f>J59/$B$2</f>
        <v>3811.2254309352597</v>
      </c>
      <c r="L59" s="22">
        <f t="shared" si="135"/>
        <v>2500000</v>
      </c>
      <c r="M59" s="22">
        <f t="shared" si="136"/>
        <v>3811.2254309352597</v>
      </c>
      <c r="N59" s="67"/>
      <c r="O59" s="67">
        <f>+M59</f>
        <v>3811.2254309352597</v>
      </c>
      <c r="P59" s="67"/>
      <c r="Q59" s="22"/>
      <c r="R59" s="22">
        <f t="shared" si="122"/>
        <v>0</v>
      </c>
      <c r="S59" s="22"/>
      <c r="T59" s="22">
        <f t="shared" si="123"/>
        <v>0</v>
      </c>
      <c r="U59" s="22">
        <f t="shared" si="124"/>
        <v>0</v>
      </c>
      <c r="V59" s="20">
        <f t="shared" si="125"/>
        <v>0</v>
      </c>
      <c r="W59" s="22">
        <v>2500000</v>
      </c>
      <c r="X59" s="22">
        <f t="shared" si="126"/>
        <v>3811.2254309352597</v>
      </c>
      <c r="Y59" s="22">
        <f t="shared" si="127"/>
        <v>2500000</v>
      </c>
      <c r="Z59" s="22">
        <f t="shared" si="128"/>
        <v>3811.2254309352597</v>
      </c>
      <c r="AA59" s="22">
        <f t="shared" si="129"/>
        <v>0</v>
      </c>
      <c r="AB59" s="22">
        <f t="shared" si="130"/>
        <v>0</v>
      </c>
      <c r="AC59" s="21"/>
      <c r="AD59" s="21">
        <f>AB59</f>
        <v>0</v>
      </c>
      <c r="AE59" s="21"/>
      <c r="AF59" s="21"/>
      <c r="AG59" s="21"/>
      <c r="AH59" s="21"/>
      <c r="AI59" s="21"/>
      <c r="AJ59" s="21">
        <f t="shared" si="131"/>
        <v>0</v>
      </c>
      <c r="AK59" s="21">
        <f t="shared" si="132"/>
        <v>0</v>
      </c>
      <c r="AL59" s="21">
        <f t="shared" si="133"/>
        <v>0</v>
      </c>
      <c r="AM59" s="108">
        <f t="shared" si="134"/>
        <v>0</v>
      </c>
      <c r="AN59" s="21"/>
      <c r="AO59" s="21"/>
      <c r="AP59" s="21"/>
      <c r="AQ59" s="21"/>
      <c r="AR59" s="21"/>
      <c r="AS59" s="21"/>
      <c r="AT59" s="21"/>
      <c r="AU59" s="21"/>
      <c r="AV59" s="21"/>
      <c r="AW59" s="21"/>
    </row>
    <row r="60" spans="1:49" ht="28" customHeight="1" x14ac:dyDescent="0.35">
      <c r="A60" s="40" t="s">
        <v>86</v>
      </c>
      <c r="B60" s="20" t="s">
        <v>87</v>
      </c>
      <c r="C60" s="21">
        <v>1</v>
      </c>
      <c r="D60" s="22">
        <v>22868</v>
      </c>
      <c r="E60" s="22">
        <f t="shared" si="121"/>
        <v>22868</v>
      </c>
      <c r="F60" s="22">
        <f t="shared" si="0"/>
        <v>15000424.675999999</v>
      </c>
      <c r="G60" s="22"/>
      <c r="H60" s="20" t="s">
        <v>87</v>
      </c>
      <c r="I60" s="21">
        <v>1</v>
      </c>
      <c r="J60" s="22">
        <v>15000000</v>
      </c>
      <c r="K60" s="21">
        <f>J60/$B$2</f>
        <v>22867.352585611556</v>
      </c>
      <c r="L60" s="22">
        <f t="shared" si="135"/>
        <v>15000000</v>
      </c>
      <c r="M60" s="22">
        <f t="shared" si="136"/>
        <v>22867.352585611556</v>
      </c>
      <c r="N60" s="67"/>
      <c r="O60" s="67">
        <f>+M60</f>
        <v>22867.352585611556</v>
      </c>
      <c r="P60" s="67"/>
      <c r="Q60" s="22">
        <v>13677080</v>
      </c>
      <c r="R60" s="22">
        <f t="shared" si="122"/>
        <v>20850.574046774407</v>
      </c>
      <c r="S60" s="22"/>
      <c r="T60" s="22">
        <f t="shared" si="123"/>
        <v>0</v>
      </c>
      <c r="U60" s="22">
        <f t="shared" si="124"/>
        <v>13677080</v>
      </c>
      <c r="V60" s="20">
        <f t="shared" si="125"/>
        <v>20850.574046774407</v>
      </c>
      <c r="W60" s="22">
        <v>0</v>
      </c>
      <c r="X60" s="22">
        <f t="shared" si="126"/>
        <v>0</v>
      </c>
      <c r="Y60" s="22">
        <f t="shared" si="127"/>
        <v>13677080</v>
      </c>
      <c r="Z60" s="22">
        <f t="shared" si="128"/>
        <v>20850.574046774407</v>
      </c>
      <c r="AA60" s="22">
        <f t="shared" si="129"/>
        <v>1322920</v>
      </c>
      <c r="AB60" s="22">
        <f t="shared" si="130"/>
        <v>2016.7785388371494</v>
      </c>
      <c r="AC60" s="21"/>
      <c r="AD60" s="21">
        <f>AB60</f>
        <v>2016.7785388371494</v>
      </c>
      <c r="AE60" s="21"/>
      <c r="AF60" s="21"/>
      <c r="AG60" s="21"/>
      <c r="AH60" s="21"/>
      <c r="AI60" s="21"/>
      <c r="AJ60" s="21">
        <f t="shared" si="131"/>
        <v>2016.7785388371494</v>
      </c>
      <c r="AK60" s="21">
        <f t="shared" si="132"/>
        <v>0</v>
      </c>
      <c r="AL60" s="21">
        <f t="shared" si="133"/>
        <v>2016.7785388371494</v>
      </c>
      <c r="AM60" s="108">
        <f t="shared" si="134"/>
        <v>0</v>
      </c>
      <c r="AN60" s="21"/>
      <c r="AO60" s="21"/>
      <c r="AP60" s="21"/>
      <c r="AQ60" s="21"/>
      <c r="AR60" s="21"/>
      <c r="AS60" s="21"/>
      <c r="AT60" s="21"/>
      <c r="AU60" s="21"/>
      <c r="AV60" s="21"/>
      <c r="AW60" s="21"/>
    </row>
    <row r="61" spans="1:49" s="43" customFormat="1" ht="28" customHeight="1" x14ac:dyDescent="0.35">
      <c r="A61" s="41" t="s">
        <v>88</v>
      </c>
      <c r="B61" s="42"/>
      <c r="C61" s="29"/>
      <c r="D61" s="29"/>
      <c r="E61" s="29"/>
      <c r="F61" s="29"/>
      <c r="G61" s="29"/>
      <c r="H61" s="42" t="s">
        <v>89</v>
      </c>
      <c r="I61" s="29">
        <v>1</v>
      </c>
      <c r="J61" s="29">
        <v>5200000</v>
      </c>
      <c r="K61" s="29">
        <f>J61/$B$2</f>
        <v>7927.3488963453401</v>
      </c>
      <c r="L61" s="29">
        <f t="shared" si="135"/>
        <v>5200000</v>
      </c>
      <c r="M61" s="29">
        <f t="shared" si="136"/>
        <v>7927.3488963453401</v>
      </c>
      <c r="N61" s="71"/>
      <c r="O61" s="71">
        <f>+M61</f>
        <v>7927.3488963453401</v>
      </c>
      <c r="P61" s="71"/>
      <c r="Q61" s="29"/>
      <c r="R61" s="22">
        <f t="shared" si="122"/>
        <v>0</v>
      </c>
      <c r="S61" s="29"/>
      <c r="T61" s="22">
        <f t="shared" si="123"/>
        <v>0</v>
      </c>
      <c r="U61" s="22">
        <f t="shared" si="124"/>
        <v>0</v>
      </c>
      <c r="V61" s="20">
        <f t="shared" si="125"/>
        <v>0</v>
      </c>
      <c r="W61" s="29">
        <v>4830461</v>
      </c>
      <c r="X61" s="22">
        <f t="shared" si="126"/>
        <v>7363.990322536386</v>
      </c>
      <c r="Y61" s="22">
        <f t="shared" si="127"/>
        <v>4830461</v>
      </c>
      <c r="Z61" s="22">
        <f t="shared" si="128"/>
        <v>7363.990322536386</v>
      </c>
      <c r="AA61" s="22">
        <f t="shared" si="129"/>
        <v>369539</v>
      </c>
      <c r="AB61" s="22">
        <f t="shared" si="130"/>
        <v>563.35857380895391</v>
      </c>
      <c r="AC61" s="29"/>
      <c r="AD61" s="29">
        <f>AB61</f>
        <v>563.35857380895391</v>
      </c>
      <c r="AE61" s="29"/>
      <c r="AF61" s="29"/>
      <c r="AG61" s="29"/>
      <c r="AH61" s="29"/>
      <c r="AI61" s="29"/>
      <c r="AJ61" s="21">
        <f t="shared" si="131"/>
        <v>563.35857380895391</v>
      </c>
      <c r="AK61" s="21">
        <f t="shared" si="132"/>
        <v>0</v>
      </c>
      <c r="AL61" s="21">
        <f t="shared" si="133"/>
        <v>563.35857380895391</v>
      </c>
      <c r="AM61" s="108">
        <f t="shared" si="134"/>
        <v>0</v>
      </c>
      <c r="AN61" s="21"/>
      <c r="AO61" s="21"/>
      <c r="AP61" s="21"/>
      <c r="AQ61" s="21"/>
      <c r="AR61" s="29"/>
      <c r="AS61" s="29"/>
      <c r="AT61" s="29"/>
      <c r="AU61" s="29"/>
      <c r="AV61" s="29"/>
      <c r="AW61" s="29"/>
    </row>
    <row r="62" spans="1:49" ht="28" customHeight="1" x14ac:dyDescent="0.35">
      <c r="A62" s="40" t="s">
        <v>90</v>
      </c>
      <c r="B62" s="20" t="s">
        <v>83</v>
      </c>
      <c r="C62" s="21">
        <v>1</v>
      </c>
      <c r="D62" s="22">
        <v>15245</v>
      </c>
      <c r="E62" s="22">
        <f t="shared" si="121"/>
        <v>15245</v>
      </c>
      <c r="F62" s="22">
        <f>+E62*655.957</f>
        <v>10000064.465</v>
      </c>
      <c r="G62" s="22"/>
      <c r="H62" s="20"/>
      <c r="I62" s="21"/>
      <c r="J62" s="22"/>
      <c r="K62" s="21"/>
      <c r="L62" s="22"/>
      <c r="M62" s="22"/>
      <c r="N62" s="67"/>
      <c r="O62" s="67"/>
      <c r="P62" s="67"/>
      <c r="Q62" s="22"/>
      <c r="R62" s="22">
        <f t="shared" si="122"/>
        <v>0</v>
      </c>
      <c r="S62" s="22"/>
      <c r="T62" s="22">
        <f t="shared" si="123"/>
        <v>0</v>
      </c>
      <c r="U62" s="22">
        <f t="shared" si="124"/>
        <v>0</v>
      </c>
      <c r="V62" s="20">
        <f t="shared" si="125"/>
        <v>0</v>
      </c>
      <c r="W62" s="22"/>
      <c r="X62" s="22">
        <f t="shared" si="126"/>
        <v>0</v>
      </c>
      <c r="Y62" s="22">
        <f t="shared" si="127"/>
        <v>0</v>
      </c>
      <c r="Z62" s="22">
        <f t="shared" si="128"/>
        <v>0</v>
      </c>
      <c r="AA62" s="22">
        <f t="shared" si="129"/>
        <v>0</v>
      </c>
      <c r="AB62" s="22"/>
      <c r="AC62" s="21"/>
      <c r="AD62" s="21"/>
      <c r="AE62" s="21"/>
      <c r="AF62" s="21"/>
      <c r="AG62" s="21"/>
      <c r="AH62" s="21"/>
      <c r="AI62" s="21"/>
      <c r="AJ62" s="21">
        <f t="shared" si="131"/>
        <v>0</v>
      </c>
      <c r="AK62" s="21">
        <f t="shared" si="132"/>
        <v>0</v>
      </c>
      <c r="AL62" s="21">
        <f t="shared" si="133"/>
        <v>0</v>
      </c>
      <c r="AM62" s="108">
        <f t="shared" si="134"/>
        <v>0</v>
      </c>
      <c r="AN62" s="21"/>
      <c r="AO62" s="21"/>
      <c r="AP62" s="21"/>
      <c r="AQ62" s="21"/>
      <c r="AR62" s="21"/>
      <c r="AS62" s="21"/>
      <c r="AT62" s="21"/>
      <c r="AU62" s="21"/>
      <c r="AV62" s="21"/>
      <c r="AW62" s="21"/>
    </row>
    <row r="63" spans="1:49" ht="28" customHeight="1" x14ac:dyDescent="0.35">
      <c r="A63" s="40" t="s">
        <v>91</v>
      </c>
      <c r="B63" s="20"/>
      <c r="C63" s="21"/>
      <c r="D63" s="22"/>
      <c r="E63" s="22"/>
      <c r="F63" s="22"/>
      <c r="G63" s="22"/>
      <c r="H63" s="20" t="s">
        <v>83</v>
      </c>
      <c r="I63" s="21">
        <v>4</v>
      </c>
      <c r="J63" s="22">
        <v>1500000</v>
      </c>
      <c r="K63" s="21">
        <f t="shared" ref="K63:K71" si="137">J63/$B$2</f>
        <v>2286.7352585611557</v>
      </c>
      <c r="L63" s="22">
        <f t="shared" si="135"/>
        <v>6000000</v>
      </c>
      <c r="M63" s="22">
        <f t="shared" si="136"/>
        <v>9146.9410342446226</v>
      </c>
      <c r="N63" s="67"/>
      <c r="O63" s="67">
        <f>+M63</f>
        <v>9146.9410342446226</v>
      </c>
      <c r="P63" s="67"/>
      <c r="Q63" s="22"/>
      <c r="R63" s="22">
        <f t="shared" si="122"/>
        <v>0</v>
      </c>
      <c r="S63" s="22">
        <v>1500000</v>
      </c>
      <c r="T63" s="22">
        <f t="shared" si="123"/>
        <v>2286.7352585611557</v>
      </c>
      <c r="U63" s="22">
        <f t="shared" si="124"/>
        <v>1500000</v>
      </c>
      <c r="V63" s="20">
        <f t="shared" si="125"/>
        <v>2286.7352585611557</v>
      </c>
      <c r="W63" s="22">
        <v>773200</v>
      </c>
      <c r="X63" s="22">
        <f t="shared" si="126"/>
        <v>1178.7358012796572</v>
      </c>
      <c r="Y63" s="22">
        <f t="shared" si="127"/>
        <v>2273200</v>
      </c>
      <c r="Z63" s="22">
        <f t="shared" si="128"/>
        <v>3465.4710598408128</v>
      </c>
      <c r="AA63" s="22">
        <f t="shared" si="129"/>
        <v>3726800</v>
      </c>
      <c r="AB63" s="22">
        <f t="shared" ref="AB63:AB71" si="138">+AA63/655.957</f>
        <v>5681.4699744038098</v>
      </c>
      <c r="AC63" s="21"/>
      <c r="AD63" s="21">
        <f>AB63</f>
        <v>5681.4699744038098</v>
      </c>
      <c r="AE63" s="21"/>
      <c r="AF63" s="21">
        <v>2287</v>
      </c>
      <c r="AG63" s="21"/>
      <c r="AH63" s="21">
        <f>AF63</f>
        <v>2287</v>
      </c>
      <c r="AI63" s="21"/>
      <c r="AJ63" s="21">
        <f t="shared" si="131"/>
        <v>3394.4699744038098</v>
      </c>
      <c r="AK63" s="21">
        <f t="shared" si="132"/>
        <v>0</v>
      </c>
      <c r="AL63" s="21">
        <f t="shared" si="133"/>
        <v>3394.4699744038098</v>
      </c>
      <c r="AM63" s="108">
        <f t="shared" si="134"/>
        <v>0</v>
      </c>
      <c r="AN63" s="21"/>
      <c r="AO63" s="21"/>
      <c r="AP63" s="21"/>
      <c r="AQ63" s="21"/>
      <c r="AR63" s="21"/>
      <c r="AS63" s="21"/>
      <c r="AT63" s="21"/>
      <c r="AU63" s="21"/>
      <c r="AV63" s="21"/>
      <c r="AW63" s="21"/>
    </row>
    <row r="64" spans="1:49" ht="28" customHeight="1" x14ac:dyDescent="0.35">
      <c r="A64" s="40" t="s">
        <v>92</v>
      </c>
      <c r="B64" s="20"/>
      <c r="C64" s="21"/>
      <c r="D64" s="22"/>
      <c r="E64" s="22"/>
      <c r="F64" s="22"/>
      <c r="G64" s="22"/>
      <c r="H64" s="20" t="s">
        <v>83</v>
      </c>
      <c r="I64" s="21">
        <v>4</v>
      </c>
      <c r="J64" s="22">
        <v>1800000</v>
      </c>
      <c r="K64" s="21">
        <f t="shared" si="137"/>
        <v>2744.0823102733871</v>
      </c>
      <c r="L64" s="22">
        <f t="shared" si="135"/>
        <v>7200000</v>
      </c>
      <c r="M64" s="22">
        <f t="shared" si="136"/>
        <v>10976.329241093548</v>
      </c>
      <c r="N64" s="67"/>
      <c r="O64" s="67">
        <f>+M64</f>
        <v>10976.329241093548</v>
      </c>
      <c r="P64" s="67"/>
      <c r="Q64" s="22"/>
      <c r="R64" s="22">
        <f t="shared" si="122"/>
        <v>0</v>
      </c>
      <c r="S64" s="22">
        <v>1522080</v>
      </c>
      <c r="T64" s="22">
        <f t="shared" si="123"/>
        <v>2320.396001567176</v>
      </c>
      <c r="U64" s="22">
        <f t="shared" si="124"/>
        <v>1522080</v>
      </c>
      <c r="V64" s="20">
        <f t="shared" si="125"/>
        <v>2320.396001567176</v>
      </c>
      <c r="W64" s="22">
        <v>1068550</v>
      </c>
      <c r="X64" s="22">
        <f t="shared" si="126"/>
        <v>1628.9939736903486</v>
      </c>
      <c r="Y64" s="22">
        <f t="shared" si="127"/>
        <v>2590630</v>
      </c>
      <c r="Z64" s="22">
        <f t="shared" si="128"/>
        <v>3949.3899752575244</v>
      </c>
      <c r="AA64" s="22">
        <f t="shared" si="129"/>
        <v>4609370</v>
      </c>
      <c r="AB64" s="22">
        <f t="shared" si="138"/>
        <v>7026.939265836023</v>
      </c>
      <c r="AC64" s="21"/>
      <c r="AD64" s="21">
        <f>AB64</f>
        <v>7026.939265836023</v>
      </c>
      <c r="AE64" s="21"/>
      <c r="AF64" s="21">
        <v>2744</v>
      </c>
      <c r="AG64" s="21"/>
      <c r="AH64" s="21">
        <f>AF64</f>
        <v>2744</v>
      </c>
      <c r="AI64" s="21"/>
      <c r="AJ64" s="21">
        <f t="shared" si="131"/>
        <v>4282.939265836023</v>
      </c>
      <c r="AK64" s="21">
        <f t="shared" si="132"/>
        <v>0</v>
      </c>
      <c r="AL64" s="21">
        <f t="shared" si="133"/>
        <v>4282.939265836023</v>
      </c>
      <c r="AM64" s="108">
        <f t="shared" si="134"/>
        <v>0</v>
      </c>
      <c r="AN64" s="21"/>
      <c r="AO64" s="21"/>
      <c r="AP64" s="21"/>
      <c r="AQ64" s="21"/>
      <c r="AR64" s="21"/>
      <c r="AS64" s="21"/>
      <c r="AT64" s="21"/>
      <c r="AU64" s="21"/>
      <c r="AV64" s="21"/>
      <c r="AW64" s="21"/>
    </row>
    <row r="65" spans="1:49" ht="28" customHeight="1" x14ac:dyDescent="0.35">
      <c r="A65" s="40" t="s">
        <v>93</v>
      </c>
      <c r="B65" s="20"/>
      <c r="C65" s="21"/>
      <c r="D65" s="22"/>
      <c r="E65" s="22"/>
      <c r="F65" s="22"/>
      <c r="G65" s="22"/>
      <c r="H65" s="20" t="s">
        <v>83</v>
      </c>
      <c r="I65" s="21">
        <v>8</v>
      </c>
      <c r="J65" s="22">
        <v>1500000</v>
      </c>
      <c r="K65" s="21">
        <f t="shared" si="137"/>
        <v>2286.7352585611557</v>
      </c>
      <c r="L65" s="22">
        <f t="shared" si="135"/>
        <v>12000000</v>
      </c>
      <c r="M65" s="22">
        <f t="shared" si="136"/>
        <v>18293.882068489245</v>
      </c>
      <c r="N65" s="67"/>
      <c r="O65" s="67">
        <f>+M65</f>
        <v>18293.882068489245</v>
      </c>
      <c r="P65" s="67"/>
      <c r="Q65" s="22"/>
      <c r="R65" s="22">
        <f t="shared" si="122"/>
        <v>0</v>
      </c>
      <c r="S65" s="22">
        <v>1410600</v>
      </c>
      <c r="T65" s="22">
        <f t="shared" si="123"/>
        <v>2150.4458371509108</v>
      </c>
      <c r="U65" s="22">
        <f t="shared" si="124"/>
        <v>1410600</v>
      </c>
      <c r="V65" s="20">
        <f t="shared" si="125"/>
        <v>2150.4458371509108</v>
      </c>
      <c r="W65" s="22">
        <v>1713360</v>
      </c>
      <c r="X65" s="22">
        <f t="shared" si="126"/>
        <v>2612.0004817388945</v>
      </c>
      <c r="Y65" s="22">
        <f t="shared" si="127"/>
        <v>3123960</v>
      </c>
      <c r="Z65" s="22">
        <f t="shared" si="128"/>
        <v>4762.4463188898053</v>
      </c>
      <c r="AA65" s="22">
        <f t="shared" si="129"/>
        <v>8876040</v>
      </c>
      <c r="AB65" s="22">
        <f t="shared" si="138"/>
        <v>13531.435749599441</v>
      </c>
      <c r="AC65" s="21"/>
      <c r="AD65" s="21">
        <f>AB65</f>
        <v>13531.435749599441</v>
      </c>
      <c r="AE65" s="21"/>
      <c r="AF65" s="21">
        <v>4573</v>
      </c>
      <c r="AG65" s="21"/>
      <c r="AH65" s="21">
        <f>AF65</f>
        <v>4573</v>
      </c>
      <c r="AI65" s="21"/>
      <c r="AJ65" s="21">
        <f t="shared" si="131"/>
        <v>8958.4357495994409</v>
      </c>
      <c r="AK65" s="21">
        <f t="shared" si="132"/>
        <v>0</v>
      </c>
      <c r="AL65" s="21">
        <f t="shared" si="133"/>
        <v>8958.4357495994409</v>
      </c>
      <c r="AM65" s="108">
        <f t="shared" si="134"/>
        <v>0</v>
      </c>
      <c r="AN65" s="21"/>
      <c r="AO65" s="21"/>
      <c r="AP65" s="21"/>
      <c r="AQ65" s="21"/>
      <c r="AR65" s="21"/>
      <c r="AS65" s="21"/>
      <c r="AT65" s="21"/>
      <c r="AU65" s="21"/>
      <c r="AV65" s="21"/>
      <c r="AW65" s="21"/>
    </row>
    <row r="66" spans="1:49" ht="28" customHeight="1" x14ac:dyDescent="0.35">
      <c r="A66" s="40" t="s">
        <v>94</v>
      </c>
      <c r="B66" s="20" t="s">
        <v>95</v>
      </c>
      <c r="C66" s="21">
        <v>8</v>
      </c>
      <c r="D66" s="22">
        <v>3811</v>
      </c>
      <c r="E66" s="22">
        <f t="shared" si="121"/>
        <v>30488</v>
      </c>
      <c r="F66" s="22">
        <f t="shared" si="0"/>
        <v>19998817.015999999</v>
      </c>
      <c r="G66" s="22"/>
      <c r="H66" s="20" t="s">
        <v>95</v>
      </c>
      <c r="I66" s="21">
        <v>10</v>
      </c>
      <c r="J66" s="22">
        <v>2000000</v>
      </c>
      <c r="K66" s="21">
        <f t="shared" si="137"/>
        <v>3048.9803447482077</v>
      </c>
      <c r="L66" s="22">
        <f t="shared" si="135"/>
        <v>20000000</v>
      </c>
      <c r="M66" s="22">
        <f t="shared" si="136"/>
        <v>30489.803447482078</v>
      </c>
      <c r="N66" s="67">
        <f>M66</f>
        <v>30489.803447482078</v>
      </c>
      <c r="O66" s="67">
        <v>0</v>
      </c>
      <c r="P66" s="67"/>
      <c r="Q66" s="22">
        <v>2333141</v>
      </c>
      <c r="R66" s="22">
        <f t="shared" si="122"/>
        <v>3556.8505252630889</v>
      </c>
      <c r="S66" s="22">
        <v>4357434</v>
      </c>
      <c r="T66" s="22">
        <f t="shared" si="123"/>
        <v>6642.8653097687802</v>
      </c>
      <c r="U66" s="22">
        <f t="shared" si="124"/>
        <v>6690575</v>
      </c>
      <c r="V66" s="20">
        <f t="shared" si="125"/>
        <v>10199.71583503187</v>
      </c>
      <c r="W66" s="23">
        <v>3468097.1355599998</v>
      </c>
      <c r="X66" s="22">
        <f t="shared" si="126"/>
        <v>5287.08</v>
      </c>
      <c r="Y66" s="22">
        <f t="shared" si="127"/>
        <v>10158672.13556</v>
      </c>
      <c r="Z66" s="22">
        <f t="shared" si="128"/>
        <v>15486.79583503187</v>
      </c>
      <c r="AA66" s="22">
        <f t="shared" si="129"/>
        <v>9841327.8644399997</v>
      </c>
      <c r="AB66" s="22">
        <f t="shared" si="138"/>
        <v>15003.007612450207</v>
      </c>
      <c r="AC66" s="21">
        <f>AB66</f>
        <v>15003.007612450207</v>
      </c>
      <c r="AD66" s="21"/>
      <c r="AE66" s="21"/>
      <c r="AF66" s="21">
        <v>6098</v>
      </c>
      <c r="AG66" s="21">
        <f>AF66</f>
        <v>6098</v>
      </c>
      <c r="AH66" s="21"/>
      <c r="AI66" s="21"/>
      <c r="AJ66" s="21">
        <f t="shared" si="131"/>
        <v>8905.0076124502066</v>
      </c>
      <c r="AK66" s="23">
        <f t="shared" si="132"/>
        <v>8905.0076124502066</v>
      </c>
      <c r="AL66" s="21">
        <f t="shared" si="133"/>
        <v>0</v>
      </c>
      <c r="AM66" s="108">
        <f t="shared" si="134"/>
        <v>0</v>
      </c>
      <c r="AN66" s="20" t="s">
        <v>95</v>
      </c>
      <c r="AO66" s="21">
        <v>2</v>
      </c>
      <c r="AP66" s="22">
        <v>2295849.5</v>
      </c>
      <c r="AQ66" s="22">
        <f t="shared" ref="AQ66:AS66" si="139">+AP66/655.957</f>
        <v>3500</v>
      </c>
      <c r="AR66" s="22">
        <f t="shared" ref="AR66" si="140">AO66*AP66</f>
        <v>4591699</v>
      </c>
      <c r="AS66" s="22">
        <f t="shared" si="139"/>
        <v>7000</v>
      </c>
      <c r="AT66" s="21"/>
      <c r="AU66" s="21"/>
      <c r="AV66" s="21"/>
      <c r="AW66" s="21"/>
    </row>
    <row r="67" spans="1:49" ht="28" customHeight="1" x14ac:dyDescent="0.35">
      <c r="A67" s="40" t="s">
        <v>96</v>
      </c>
      <c r="B67" s="20" t="s">
        <v>87</v>
      </c>
      <c r="C67" s="21">
        <v>2</v>
      </c>
      <c r="D67" s="22">
        <v>15245</v>
      </c>
      <c r="E67" s="22">
        <f t="shared" si="121"/>
        <v>30490</v>
      </c>
      <c r="F67" s="22">
        <f t="shared" si="0"/>
        <v>20000128.93</v>
      </c>
      <c r="G67" s="22"/>
      <c r="H67" s="20" t="s">
        <v>87</v>
      </c>
      <c r="I67" s="21"/>
      <c r="J67" s="22"/>
      <c r="K67" s="21">
        <f t="shared" si="137"/>
        <v>0</v>
      </c>
      <c r="L67" s="22"/>
      <c r="M67" s="22">
        <f t="shared" si="136"/>
        <v>0</v>
      </c>
      <c r="N67" s="67"/>
      <c r="O67" s="67">
        <f>+M67</f>
        <v>0</v>
      </c>
      <c r="P67" s="67"/>
      <c r="Q67" s="22"/>
      <c r="R67" s="22">
        <f t="shared" si="122"/>
        <v>0</v>
      </c>
      <c r="S67" s="22"/>
      <c r="T67" s="22">
        <f t="shared" si="123"/>
        <v>0</v>
      </c>
      <c r="U67" s="22">
        <f t="shared" si="124"/>
        <v>0</v>
      </c>
      <c r="V67" s="20">
        <f t="shared" si="125"/>
        <v>0</v>
      </c>
      <c r="W67" s="22"/>
      <c r="X67" s="22">
        <f t="shared" si="126"/>
        <v>0</v>
      </c>
      <c r="Y67" s="22">
        <f t="shared" si="127"/>
        <v>0</v>
      </c>
      <c r="Z67" s="22">
        <f t="shared" si="128"/>
        <v>0</v>
      </c>
      <c r="AA67" s="22">
        <f t="shared" si="129"/>
        <v>0</v>
      </c>
      <c r="AB67" s="22">
        <f t="shared" si="138"/>
        <v>0</v>
      </c>
      <c r="AC67" s="21"/>
      <c r="AD67" s="21"/>
      <c r="AE67" s="21"/>
      <c r="AF67" s="21"/>
      <c r="AG67" s="21"/>
      <c r="AH67" s="21"/>
      <c r="AI67" s="21"/>
      <c r="AJ67" s="21">
        <f t="shared" si="131"/>
        <v>0</v>
      </c>
      <c r="AK67" s="21">
        <f t="shared" si="132"/>
        <v>0</v>
      </c>
      <c r="AL67" s="21">
        <f t="shared" si="133"/>
        <v>0</v>
      </c>
      <c r="AM67" s="108">
        <f t="shared" si="134"/>
        <v>0</v>
      </c>
      <c r="AN67" s="21"/>
      <c r="AO67" s="21"/>
      <c r="AP67" s="21"/>
      <c r="AQ67" s="21"/>
      <c r="AR67" s="21"/>
      <c r="AS67" s="21"/>
      <c r="AT67" s="21"/>
      <c r="AU67" s="21"/>
      <c r="AV67" s="21"/>
      <c r="AW67" s="21"/>
    </row>
    <row r="68" spans="1:49" ht="28" customHeight="1" x14ac:dyDescent="0.35">
      <c r="A68" s="40" t="s">
        <v>97</v>
      </c>
      <c r="B68" s="20"/>
      <c r="C68" s="21"/>
      <c r="D68" s="22"/>
      <c r="E68" s="22"/>
      <c r="F68" s="22"/>
      <c r="G68" s="22"/>
      <c r="H68" s="20" t="s">
        <v>87</v>
      </c>
      <c r="I68" s="21">
        <v>1</v>
      </c>
      <c r="J68" s="22">
        <v>4000000</v>
      </c>
      <c r="K68" s="21">
        <f t="shared" si="137"/>
        <v>6097.9606894964154</v>
      </c>
      <c r="L68" s="22">
        <f t="shared" ref="L68:L69" si="141">I68*J68</f>
        <v>4000000</v>
      </c>
      <c r="M68" s="22">
        <f t="shared" si="136"/>
        <v>6097.9606894964154</v>
      </c>
      <c r="N68" s="67"/>
      <c r="O68" s="67">
        <f>+M68</f>
        <v>6097.9606894964154</v>
      </c>
      <c r="P68" s="67"/>
      <c r="Q68" s="22"/>
      <c r="R68" s="22">
        <f t="shared" si="122"/>
        <v>0</v>
      </c>
      <c r="S68" s="22"/>
      <c r="T68" s="22">
        <f t="shared" si="123"/>
        <v>0</v>
      </c>
      <c r="U68" s="22">
        <f t="shared" si="124"/>
        <v>0</v>
      </c>
      <c r="V68" s="20">
        <f t="shared" si="125"/>
        <v>0</v>
      </c>
      <c r="W68" s="22"/>
      <c r="X68" s="22">
        <f t="shared" si="126"/>
        <v>0</v>
      </c>
      <c r="Y68" s="22">
        <f t="shared" si="127"/>
        <v>0</v>
      </c>
      <c r="Z68" s="22">
        <f t="shared" si="128"/>
        <v>0</v>
      </c>
      <c r="AA68" s="22">
        <f t="shared" si="129"/>
        <v>4000000</v>
      </c>
      <c r="AB68" s="22">
        <f t="shared" si="138"/>
        <v>6097.9606894964154</v>
      </c>
      <c r="AC68" s="21"/>
      <c r="AD68" s="21">
        <f>AB68</f>
        <v>6097.9606894964154</v>
      </c>
      <c r="AE68" s="21"/>
      <c r="AF68" s="21"/>
      <c r="AG68" s="21"/>
      <c r="AH68" s="21"/>
      <c r="AI68" s="21"/>
      <c r="AJ68" s="21">
        <f t="shared" si="131"/>
        <v>6097.9606894964154</v>
      </c>
      <c r="AK68" s="21">
        <f t="shared" si="132"/>
        <v>0</v>
      </c>
      <c r="AL68" s="21">
        <f t="shared" si="133"/>
        <v>6097.9606894964154</v>
      </c>
      <c r="AM68" s="108">
        <f t="shared" si="134"/>
        <v>0</v>
      </c>
      <c r="AN68" s="21"/>
      <c r="AO68" s="21"/>
      <c r="AP68" s="21"/>
      <c r="AQ68" s="21"/>
      <c r="AR68" s="21"/>
      <c r="AS68" s="21"/>
      <c r="AT68" s="21"/>
      <c r="AU68" s="21"/>
      <c r="AV68" s="21"/>
      <c r="AW68" s="21"/>
    </row>
    <row r="69" spans="1:49" ht="28" customHeight="1" x14ac:dyDescent="0.35">
      <c r="A69" s="40" t="s">
        <v>98</v>
      </c>
      <c r="B69" s="20"/>
      <c r="C69" s="21"/>
      <c r="D69" s="22"/>
      <c r="E69" s="22"/>
      <c r="F69" s="22"/>
      <c r="G69" s="22"/>
      <c r="H69" s="20" t="s">
        <v>87</v>
      </c>
      <c r="I69" s="21">
        <v>1</v>
      </c>
      <c r="J69" s="22">
        <v>10000000</v>
      </c>
      <c r="K69" s="21">
        <f t="shared" si="137"/>
        <v>15244.901723741039</v>
      </c>
      <c r="L69" s="22">
        <f t="shared" si="141"/>
        <v>10000000</v>
      </c>
      <c r="M69" s="22">
        <f t="shared" si="136"/>
        <v>15244.901723741039</v>
      </c>
      <c r="N69" s="67"/>
      <c r="O69" s="67">
        <f>+M69</f>
        <v>15244.901723741039</v>
      </c>
      <c r="P69" s="67"/>
      <c r="Q69" s="22"/>
      <c r="R69" s="22">
        <f t="shared" si="122"/>
        <v>0</v>
      </c>
      <c r="S69" s="22"/>
      <c r="T69" s="22">
        <f t="shared" si="123"/>
        <v>0</v>
      </c>
      <c r="U69" s="22">
        <f t="shared" si="124"/>
        <v>0</v>
      </c>
      <c r="V69" s="20">
        <f t="shared" si="125"/>
        <v>0</v>
      </c>
      <c r="W69" s="22"/>
      <c r="X69" s="22">
        <f t="shared" si="126"/>
        <v>0</v>
      </c>
      <c r="Y69" s="22">
        <f t="shared" si="127"/>
        <v>0</v>
      </c>
      <c r="Z69" s="22">
        <f t="shared" si="128"/>
        <v>0</v>
      </c>
      <c r="AA69" s="22">
        <f t="shared" si="129"/>
        <v>10000000</v>
      </c>
      <c r="AB69" s="22">
        <f t="shared" si="138"/>
        <v>15244.901723741039</v>
      </c>
      <c r="AC69" s="21"/>
      <c r="AD69" s="21">
        <f>AB69</f>
        <v>15244.901723741039</v>
      </c>
      <c r="AE69" s="21"/>
      <c r="AF69" s="21"/>
      <c r="AG69" s="21"/>
      <c r="AH69" s="21"/>
      <c r="AI69" s="21"/>
      <c r="AJ69" s="21">
        <f t="shared" si="131"/>
        <v>15244.901723741039</v>
      </c>
      <c r="AK69" s="21">
        <f t="shared" si="132"/>
        <v>0</v>
      </c>
      <c r="AL69" s="21">
        <f t="shared" si="133"/>
        <v>15244.901723741039</v>
      </c>
      <c r="AM69" s="108">
        <f t="shared" si="134"/>
        <v>0</v>
      </c>
      <c r="AN69" s="21"/>
      <c r="AO69" s="21"/>
      <c r="AP69" s="21"/>
      <c r="AQ69" s="21"/>
      <c r="AR69" s="21"/>
      <c r="AS69" s="21"/>
      <c r="AT69" s="21"/>
      <c r="AU69" s="21"/>
      <c r="AV69" s="21"/>
      <c r="AW69" s="21"/>
    </row>
    <row r="70" spans="1:49" ht="28" customHeight="1" x14ac:dyDescent="0.35">
      <c r="A70" s="40" t="s">
        <v>99</v>
      </c>
      <c r="B70" s="20" t="s">
        <v>89</v>
      </c>
      <c r="C70" s="21">
        <v>1</v>
      </c>
      <c r="D70" s="22">
        <v>7622</v>
      </c>
      <c r="E70" s="22">
        <f t="shared" si="121"/>
        <v>7622</v>
      </c>
      <c r="F70" s="22">
        <f t="shared" si="0"/>
        <v>4999704.2539999997</v>
      </c>
      <c r="G70" s="22"/>
      <c r="H70" s="20" t="s">
        <v>89</v>
      </c>
      <c r="I70" s="21">
        <v>1</v>
      </c>
      <c r="J70" s="22">
        <v>7000000</v>
      </c>
      <c r="K70" s="21">
        <f t="shared" si="137"/>
        <v>10671.431206618727</v>
      </c>
      <c r="L70" s="22">
        <f t="shared" si="135"/>
        <v>7000000</v>
      </c>
      <c r="M70" s="22">
        <f t="shared" si="136"/>
        <v>10671.431206618727</v>
      </c>
      <c r="N70" s="67"/>
      <c r="O70" s="67">
        <f>+M70</f>
        <v>10671.431206618727</v>
      </c>
      <c r="P70" s="67"/>
      <c r="Q70" s="22"/>
      <c r="R70" s="22">
        <f t="shared" si="122"/>
        <v>0</v>
      </c>
      <c r="S70" s="22"/>
      <c r="T70" s="22">
        <f t="shared" si="123"/>
        <v>0</v>
      </c>
      <c r="U70" s="22">
        <f t="shared" si="124"/>
        <v>0</v>
      </c>
      <c r="V70" s="20">
        <f t="shared" si="125"/>
        <v>0</v>
      </c>
      <c r="W70" s="22">
        <v>2400000</v>
      </c>
      <c r="X70" s="22">
        <f t="shared" si="126"/>
        <v>3658.776413697849</v>
      </c>
      <c r="Y70" s="22">
        <f t="shared" si="127"/>
        <v>2400000</v>
      </c>
      <c r="Z70" s="22">
        <f t="shared" si="128"/>
        <v>3658.776413697849</v>
      </c>
      <c r="AA70" s="22">
        <f t="shared" si="129"/>
        <v>4600000</v>
      </c>
      <c r="AB70" s="22">
        <f t="shared" si="138"/>
        <v>7012.6547929208773</v>
      </c>
      <c r="AC70" s="21"/>
      <c r="AD70" s="21">
        <f>AB70</f>
        <v>7012.6547929208773</v>
      </c>
      <c r="AE70" s="21"/>
      <c r="AF70" s="21"/>
      <c r="AG70" s="21"/>
      <c r="AH70" s="21"/>
      <c r="AI70" s="21"/>
      <c r="AJ70" s="21">
        <f t="shared" si="131"/>
        <v>7012.6547929208773</v>
      </c>
      <c r="AK70" s="21">
        <f t="shared" si="132"/>
        <v>0</v>
      </c>
      <c r="AL70" s="21">
        <f t="shared" si="133"/>
        <v>7012.6547929208773</v>
      </c>
      <c r="AM70" s="108">
        <f t="shared" si="134"/>
        <v>0</v>
      </c>
      <c r="AN70" s="21"/>
      <c r="AO70" s="21"/>
      <c r="AP70" s="21"/>
      <c r="AQ70" s="21"/>
      <c r="AR70" s="21"/>
      <c r="AS70" s="21"/>
      <c r="AT70" s="21"/>
      <c r="AU70" s="21"/>
      <c r="AV70" s="21"/>
      <c r="AW70" s="21"/>
    </row>
    <row r="71" spans="1:49" ht="28" customHeight="1" x14ac:dyDescent="0.35">
      <c r="A71" s="40" t="s">
        <v>100</v>
      </c>
      <c r="B71" s="20" t="s">
        <v>71</v>
      </c>
      <c r="C71" s="21">
        <v>4</v>
      </c>
      <c r="D71" s="21">
        <v>2000</v>
      </c>
      <c r="E71" s="22">
        <f>C71*D71</f>
        <v>8000</v>
      </c>
      <c r="F71" s="22">
        <f t="shared" si="0"/>
        <v>5247656</v>
      </c>
      <c r="G71" s="22"/>
      <c r="H71" s="20" t="s">
        <v>71</v>
      </c>
      <c r="I71" s="21">
        <v>5</v>
      </c>
      <c r="J71" s="21">
        <v>3000000</v>
      </c>
      <c r="K71" s="21">
        <f t="shared" si="137"/>
        <v>4573.4705171223113</v>
      </c>
      <c r="L71" s="22">
        <f t="shared" si="135"/>
        <v>15000000</v>
      </c>
      <c r="M71" s="22">
        <f t="shared" si="136"/>
        <v>22867.352585611556</v>
      </c>
      <c r="N71" s="67"/>
      <c r="O71" s="67">
        <f>+M71</f>
        <v>22867.352585611556</v>
      </c>
      <c r="P71" s="67"/>
      <c r="Q71" s="22"/>
      <c r="R71" s="22">
        <f t="shared" si="122"/>
        <v>0</v>
      </c>
      <c r="S71" s="22">
        <v>2390000</v>
      </c>
      <c r="T71" s="22">
        <f t="shared" si="123"/>
        <v>3643.5315119741081</v>
      </c>
      <c r="U71" s="22">
        <f>Q71+S71</f>
        <v>2390000</v>
      </c>
      <c r="V71" s="20">
        <f t="shared" si="125"/>
        <v>3643.5315119741081</v>
      </c>
      <c r="W71" s="22">
        <v>2700000</v>
      </c>
      <c r="X71" s="22">
        <f t="shared" si="126"/>
        <v>4116.1234654100799</v>
      </c>
      <c r="Y71" s="22">
        <f t="shared" si="127"/>
        <v>5090000</v>
      </c>
      <c r="Z71" s="22">
        <f t="shared" si="128"/>
        <v>7759.654977384188</v>
      </c>
      <c r="AA71" s="22">
        <f t="shared" si="129"/>
        <v>9910000</v>
      </c>
      <c r="AB71" s="22">
        <f t="shared" si="138"/>
        <v>15107.697608227369</v>
      </c>
      <c r="AC71" s="21"/>
      <c r="AD71" s="21">
        <f>AB71</f>
        <v>15107.697608227369</v>
      </c>
      <c r="AE71" s="21"/>
      <c r="AF71" s="21">
        <v>4573</v>
      </c>
      <c r="AG71" s="21"/>
      <c r="AH71" s="21">
        <f>AF71</f>
        <v>4573</v>
      </c>
      <c r="AI71" s="21"/>
      <c r="AJ71" s="21">
        <f t="shared" si="131"/>
        <v>10534.697608227369</v>
      </c>
      <c r="AK71" s="21">
        <f t="shared" si="132"/>
        <v>0</v>
      </c>
      <c r="AL71" s="21">
        <f t="shared" si="133"/>
        <v>10534.697608227369</v>
      </c>
      <c r="AM71" s="108">
        <f t="shared" si="134"/>
        <v>0</v>
      </c>
      <c r="AN71" s="21"/>
      <c r="AO71" s="21"/>
      <c r="AP71" s="21"/>
      <c r="AQ71" s="21"/>
      <c r="AR71" s="21"/>
      <c r="AS71" s="21"/>
      <c r="AT71" s="21"/>
      <c r="AU71" s="21"/>
      <c r="AV71" s="21"/>
      <c r="AW71" s="21"/>
    </row>
    <row r="72" spans="1:49" ht="28" customHeight="1" collapsed="1" x14ac:dyDescent="0.35">
      <c r="A72" s="44" t="s">
        <v>101</v>
      </c>
      <c r="B72" s="25"/>
      <c r="C72" s="26"/>
      <c r="D72" s="26"/>
      <c r="E72" s="27">
        <f>SUM(E57:E71)</f>
        <v>133769.22543093527</v>
      </c>
      <c r="F72" s="27">
        <f>SUM(F57:F71)</f>
        <v>87746859.805999979</v>
      </c>
      <c r="G72" s="28">
        <f>F72/$F$159</f>
        <v>0.12259683516367531</v>
      </c>
      <c r="H72" s="25"/>
      <c r="I72" s="26"/>
      <c r="J72" s="26"/>
      <c r="K72" s="26"/>
      <c r="L72" s="27">
        <f>SUM(L57:L71)</f>
        <v>116400000</v>
      </c>
      <c r="M72" s="27">
        <f>SUM(M57:M71)</f>
        <v>177450.65606434568</v>
      </c>
      <c r="N72" s="68">
        <f t="shared" ref="N72:P72" si="142">SUM(N57:N71)</f>
        <v>30489.803447482078</v>
      </c>
      <c r="O72" s="68">
        <f t="shared" si="142"/>
        <v>143149.62718592834</v>
      </c>
      <c r="P72" s="68">
        <f t="shared" si="142"/>
        <v>3811.2254309352602</v>
      </c>
      <c r="Q72" s="27">
        <f>SUM(Q57:Q71)</f>
        <v>27486595</v>
      </c>
      <c r="R72" s="27">
        <f t="shared" ref="R72:AM72" si="143">SUM(R57:R71)</f>
        <v>41903.043949527171</v>
      </c>
      <c r="S72" s="27">
        <f t="shared" si="143"/>
        <v>11180114</v>
      </c>
      <c r="T72" s="27">
        <f t="shared" si="143"/>
        <v>17043.97391902213</v>
      </c>
      <c r="U72" s="27">
        <f t="shared" si="143"/>
        <v>38666709</v>
      </c>
      <c r="V72" s="27">
        <f t="shared" si="143"/>
        <v>58947.017868549308</v>
      </c>
      <c r="W72" s="27">
        <f t="shared" si="143"/>
        <v>19453668.135559998</v>
      </c>
      <c r="X72" s="27">
        <f t="shared" si="143"/>
        <v>29656.925889288475</v>
      </c>
      <c r="Y72" s="27">
        <f>SUM(Y57:Y71)</f>
        <v>58120377.135559998</v>
      </c>
      <c r="Z72" s="27">
        <f t="shared" si="143"/>
        <v>88603.943757837784</v>
      </c>
      <c r="AA72" s="27">
        <f>SUM(AA57:AA71)</f>
        <v>58279622.864440002</v>
      </c>
      <c r="AB72" s="27">
        <f t="shared" si="143"/>
        <v>88846.712306507892</v>
      </c>
      <c r="AC72" s="27">
        <f t="shared" si="143"/>
        <v>15003.007612450207</v>
      </c>
      <c r="AD72" s="27">
        <f t="shared" si="143"/>
        <v>72086.479754008265</v>
      </c>
      <c r="AE72" s="27">
        <f t="shared" si="143"/>
        <v>1757.2249400494247</v>
      </c>
      <c r="AF72" s="27">
        <f t="shared" si="143"/>
        <v>20275</v>
      </c>
      <c r="AG72" s="27">
        <f t="shared" si="143"/>
        <v>6098</v>
      </c>
      <c r="AH72" s="27">
        <f t="shared" si="143"/>
        <v>14177</v>
      </c>
      <c r="AI72" s="27">
        <f t="shared" si="143"/>
        <v>0</v>
      </c>
      <c r="AJ72" s="33">
        <f>SUM(AJ57:AJ71)</f>
        <v>68571.712306507892</v>
      </c>
      <c r="AK72" s="27">
        <f t="shared" si="143"/>
        <v>8905.0076124502066</v>
      </c>
      <c r="AL72" s="27">
        <f t="shared" si="143"/>
        <v>57909.479754008265</v>
      </c>
      <c r="AM72" s="110">
        <f t="shared" si="143"/>
        <v>1757.2249400494247</v>
      </c>
      <c r="AN72" s="27"/>
      <c r="AO72" s="27"/>
      <c r="AP72" s="27"/>
      <c r="AQ72" s="27"/>
      <c r="AR72" s="110">
        <f t="shared" ref="AR72:AW72" si="144">SUM(AR57:AR71)</f>
        <v>4591699</v>
      </c>
      <c r="AS72" s="110">
        <f t="shared" si="144"/>
        <v>7000</v>
      </c>
      <c r="AT72" s="110">
        <f t="shared" si="144"/>
        <v>0</v>
      </c>
      <c r="AU72" s="110">
        <f t="shared" si="144"/>
        <v>0</v>
      </c>
      <c r="AV72" s="110">
        <f t="shared" si="144"/>
        <v>0</v>
      </c>
      <c r="AW72" s="110">
        <f t="shared" si="144"/>
        <v>0</v>
      </c>
    </row>
    <row r="73" spans="1:49" ht="27.5" customHeight="1" x14ac:dyDescent="0.35">
      <c r="A73" s="45" t="s">
        <v>102</v>
      </c>
      <c r="B73" s="46"/>
      <c r="C73" s="46"/>
      <c r="D73" s="46"/>
      <c r="E73" s="46"/>
      <c r="F73" s="22">
        <f t="shared" si="0"/>
        <v>0</v>
      </c>
      <c r="G73" s="22"/>
      <c r="H73" s="20"/>
      <c r="I73" s="21"/>
      <c r="J73" s="21"/>
      <c r="K73" s="21"/>
      <c r="L73" s="22"/>
      <c r="M73" s="22"/>
      <c r="N73" s="67"/>
      <c r="O73" s="67"/>
      <c r="P73" s="67"/>
      <c r="Q73" s="22"/>
      <c r="R73" s="22"/>
      <c r="S73" s="22"/>
      <c r="T73" s="22"/>
      <c r="U73" s="22"/>
      <c r="V73" s="20"/>
      <c r="W73" s="22"/>
      <c r="X73" s="22"/>
      <c r="Y73" s="39">
        <f>Y72+AA72</f>
        <v>116400000</v>
      </c>
      <c r="Z73" s="23"/>
      <c r="AA73" s="23"/>
      <c r="AB73" s="23"/>
      <c r="AC73" s="21"/>
      <c r="AD73" s="21"/>
      <c r="AE73" s="21"/>
      <c r="AF73" s="97">
        <f>AF72*655.957</f>
        <v>13299528.175000001</v>
      </c>
      <c r="AG73" s="97">
        <f>AG72*655.957</f>
        <v>4000025.7859999998</v>
      </c>
      <c r="AH73" s="97">
        <f>AH72*655.957</f>
        <v>9299502.3890000004</v>
      </c>
      <c r="AI73" s="97">
        <f>AI72*655.957</f>
        <v>0</v>
      </c>
      <c r="AJ73" s="21"/>
      <c r="AK73" s="21"/>
      <c r="AL73" s="21"/>
      <c r="AM73" s="108"/>
      <c r="AN73" s="21"/>
      <c r="AO73" s="21"/>
      <c r="AP73" s="21"/>
      <c r="AQ73" s="21"/>
      <c r="AR73" s="21"/>
      <c r="AS73" s="21"/>
      <c r="AT73" s="21"/>
      <c r="AU73" s="21"/>
      <c r="AV73" s="21"/>
      <c r="AW73" s="21"/>
    </row>
    <row r="74" spans="1:49" s="49" customFormat="1" ht="27.5" customHeight="1" x14ac:dyDescent="0.35">
      <c r="A74" s="45" t="s">
        <v>103</v>
      </c>
      <c r="B74" s="47" t="s">
        <v>89</v>
      </c>
      <c r="C74" s="48">
        <v>1</v>
      </c>
      <c r="D74" s="48">
        <v>15244.901723741039</v>
      </c>
      <c r="E74" s="48">
        <f t="shared" ref="E74:E96" si="145">C74*D74</f>
        <v>15244.901723741039</v>
      </c>
      <c r="F74" s="48">
        <f t="shared" si="0"/>
        <v>10000000</v>
      </c>
      <c r="G74" s="48"/>
      <c r="H74" s="47"/>
      <c r="I74" s="48"/>
      <c r="J74" s="48"/>
      <c r="K74" s="48"/>
      <c r="L74" s="48">
        <f>SUM(L75:L77)</f>
        <v>50000000</v>
      </c>
      <c r="M74" s="48">
        <f>SUM(M75:M77)</f>
        <v>76224.508618705178</v>
      </c>
      <c r="N74" s="72">
        <f>SUM(N76:N77)</f>
        <v>0</v>
      </c>
      <c r="O74" s="72">
        <f>SUM(O75:O77)</f>
        <v>45734.705171223111</v>
      </c>
      <c r="P74" s="72">
        <f>SUM(P75:P77)</f>
        <v>30489.803447482074</v>
      </c>
      <c r="Q74" s="48">
        <f t="shared" ref="Q74:AG74" si="146">SUM(Q75:Q77)</f>
        <v>3517897</v>
      </c>
      <c r="R74" s="48">
        <f t="shared" si="146"/>
        <v>5362.9994039243429</v>
      </c>
      <c r="S74" s="48">
        <f t="shared" si="146"/>
        <v>2285593</v>
      </c>
      <c r="T74" s="48">
        <f t="shared" si="146"/>
        <v>3484.3640665470452</v>
      </c>
      <c r="U74" s="48">
        <f t="shared" si="146"/>
        <v>5803490</v>
      </c>
      <c r="V74" s="48">
        <f t="shared" si="146"/>
        <v>8847.3634704713877</v>
      </c>
      <c r="W74" s="48">
        <f t="shared" si="146"/>
        <v>40462030</v>
      </c>
      <c r="X74" s="48">
        <f t="shared" si="146"/>
        <v>61683.967089306156</v>
      </c>
      <c r="Y74" s="48">
        <f t="shared" si="146"/>
        <v>46265520</v>
      </c>
      <c r="Z74" s="48">
        <f t="shared" si="146"/>
        <v>70531.330559777547</v>
      </c>
      <c r="AA74" s="48">
        <f>SUM(AA75:AA77)</f>
        <v>3734480</v>
      </c>
      <c r="AB74" s="48">
        <f t="shared" si="146"/>
        <v>5693.1780589276432</v>
      </c>
      <c r="AC74" s="48">
        <f t="shared" si="146"/>
        <v>0</v>
      </c>
      <c r="AD74" s="48">
        <f t="shared" si="146"/>
        <v>0</v>
      </c>
      <c r="AE74" s="48">
        <f t="shared" si="146"/>
        <v>5693.1780589276432</v>
      </c>
      <c r="AF74" s="48">
        <f>SUM(AF75:AF77)</f>
        <v>4573.4705171223113</v>
      </c>
      <c r="AG74" s="48">
        <f t="shared" si="146"/>
        <v>0</v>
      </c>
      <c r="AH74" s="48">
        <f>AF74</f>
        <v>4573.4705171223113</v>
      </c>
      <c r="AI74" s="48"/>
      <c r="AJ74" s="17">
        <f>AB74-AF74</f>
        <v>1119.7075418053319</v>
      </c>
      <c r="AK74" s="17">
        <f>AC74-AG74</f>
        <v>0</v>
      </c>
      <c r="AL74" s="17">
        <f>AD74-AH74</f>
        <v>-4573.4705171223113</v>
      </c>
      <c r="AM74" s="113">
        <f>AE74-AI74</f>
        <v>5693.1780589276432</v>
      </c>
      <c r="AN74" s="17"/>
      <c r="AO74" s="17"/>
      <c r="AP74" s="17"/>
      <c r="AQ74" s="17"/>
      <c r="AR74" s="48"/>
      <c r="AS74" s="48"/>
      <c r="AT74" s="48"/>
      <c r="AU74" s="48"/>
      <c r="AV74" s="48"/>
      <c r="AW74" s="48"/>
    </row>
    <row r="75" spans="1:49" s="53" customFormat="1" ht="27.5" customHeight="1" outlineLevel="1" x14ac:dyDescent="0.35">
      <c r="A75" s="50" t="s">
        <v>103</v>
      </c>
      <c r="B75" s="135" t="s">
        <v>104</v>
      </c>
      <c r="C75" s="135"/>
      <c r="D75" s="135"/>
      <c r="E75" s="135"/>
      <c r="F75" s="135"/>
      <c r="G75" s="51"/>
      <c r="H75" s="42" t="s">
        <v>89</v>
      </c>
      <c r="I75" s="52">
        <v>1</v>
      </c>
      <c r="J75" s="52">
        <v>8000000</v>
      </c>
      <c r="K75" s="52">
        <f>J75/$B$2</f>
        <v>12195.921378992831</v>
      </c>
      <c r="L75" s="52">
        <f t="shared" ref="L75:L96" si="147">I75*J75</f>
        <v>8000000</v>
      </c>
      <c r="M75" s="52">
        <f t="shared" ref="M75:M96" si="148">+L75/655.957</f>
        <v>12195.921378992831</v>
      </c>
      <c r="N75" s="73"/>
      <c r="O75" s="73"/>
      <c r="P75" s="74">
        <f>M75</f>
        <v>12195.921378992831</v>
      </c>
      <c r="Q75" s="52">
        <v>3517897</v>
      </c>
      <c r="R75" s="22">
        <f t="shared" ref="R75:R95" si="149">+Q75/655.957</f>
        <v>5362.9994039243429</v>
      </c>
      <c r="S75" s="52"/>
      <c r="T75" s="22">
        <f t="shared" ref="T75:T95" si="150">+S75/655.957</f>
        <v>0</v>
      </c>
      <c r="U75" s="22">
        <f t="shared" ref="U75:U94" si="151">Q75+S75</f>
        <v>3517897</v>
      </c>
      <c r="V75" s="20">
        <f t="shared" ref="V75:V95" si="152">+U75/655.957</f>
        <v>5362.9994039243429</v>
      </c>
      <c r="W75" s="52"/>
      <c r="X75" s="22">
        <f t="shared" ref="X75:X95" si="153">+W75/655.957</f>
        <v>0</v>
      </c>
      <c r="Y75" s="22">
        <f>+U75+W75</f>
        <v>3517897</v>
      </c>
      <c r="Z75" s="22">
        <f t="shared" ref="Z75:Z95" si="154">+Y75/655.957</f>
        <v>5362.9994039243429</v>
      </c>
      <c r="AA75" s="22">
        <f>+L75-Y75</f>
        <v>4482103</v>
      </c>
      <c r="AB75" s="22">
        <f t="shared" ref="AB75:AB77" si="155">+AA75/655.957</f>
        <v>6832.9219750684879</v>
      </c>
      <c r="AC75" s="29"/>
      <c r="AD75" s="29"/>
      <c r="AE75" s="29">
        <f>AB75</f>
        <v>6832.9219750684879</v>
      </c>
      <c r="AF75" s="29"/>
      <c r="AG75" s="51"/>
      <c r="AH75" s="51"/>
      <c r="AI75" s="51"/>
      <c r="AJ75" s="51"/>
      <c r="AK75" s="51"/>
      <c r="AL75" s="51"/>
      <c r="AM75" s="114"/>
      <c r="AN75" s="51"/>
      <c r="AO75" s="51"/>
      <c r="AP75" s="51"/>
      <c r="AQ75" s="51"/>
      <c r="AR75" s="51"/>
      <c r="AS75" s="51"/>
      <c r="AT75" s="51"/>
      <c r="AU75" s="51"/>
      <c r="AV75" s="51"/>
      <c r="AW75" s="51"/>
    </row>
    <row r="76" spans="1:49" s="55" customFormat="1" ht="27.5" customHeight="1" outlineLevel="1" x14ac:dyDescent="0.35">
      <c r="A76" s="50" t="s">
        <v>105</v>
      </c>
      <c r="B76" s="42"/>
      <c r="C76" s="54"/>
      <c r="D76" s="54"/>
      <c r="E76" s="54"/>
      <c r="F76" s="54"/>
      <c r="G76" s="54"/>
      <c r="H76" s="42" t="s">
        <v>89</v>
      </c>
      <c r="I76" s="52">
        <v>2</v>
      </c>
      <c r="J76" s="52">
        <v>6000000</v>
      </c>
      <c r="K76" s="52">
        <f>J76/$B$2</f>
        <v>9146.9410342446226</v>
      </c>
      <c r="L76" s="52">
        <f t="shared" si="147"/>
        <v>12000000</v>
      </c>
      <c r="M76" s="52">
        <f t="shared" si="148"/>
        <v>18293.882068489245</v>
      </c>
      <c r="N76" s="74"/>
      <c r="O76" s="74"/>
      <c r="P76" s="74">
        <f>M76</f>
        <v>18293.882068489245</v>
      </c>
      <c r="Q76" s="52"/>
      <c r="R76" s="22">
        <f t="shared" si="149"/>
        <v>0</v>
      </c>
      <c r="S76" s="52">
        <v>2285593</v>
      </c>
      <c r="T76" s="22">
        <f t="shared" si="150"/>
        <v>3484.3640665470452</v>
      </c>
      <c r="U76" s="22">
        <f t="shared" si="151"/>
        <v>2285593</v>
      </c>
      <c r="V76" s="20">
        <f t="shared" si="152"/>
        <v>3484.3640665470452</v>
      </c>
      <c r="W76" s="52">
        <v>8537280</v>
      </c>
      <c r="X76" s="22">
        <f t="shared" si="153"/>
        <v>13014.999458805989</v>
      </c>
      <c r="Y76" s="22">
        <f>+U76+W76</f>
        <v>10822873</v>
      </c>
      <c r="Z76" s="22">
        <f t="shared" si="154"/>
        <v>16499.363525353034</v>
      </c>
      <c r="AA76" s="22">
        <f>+L76-Y76</f>
        <v>1177127</v>
      </c>
      <c r="AB76" s="22">
        <f t="shared" si="155"/>
        <v>1794.5185431362117</v>
      </c>
      <c r="AC76" s="29"/>
      <c r="AD76" s="29"/>
      <c r="AE76" s="29">
        <f>AB76</f>
        <v>1794.5185431362117</v>
      </c>
      <c r="AF76" s="29"/>
      <c r="AG76" s="54"/>
      <c r="AH76" s="54"/>
      <c r="AI76" s="54"/>
      <c r="AJ76" s="54"/>
      <c r="AK76" s="54"/>
      <c r="AL76" s="54"/>
      <c r="AM76" s="115"/>
      <c r="AN76" s="54"/>
      <c r="AO76" s="54"/>
      <c r="AP76" s="54"/>
      <c r="AQ76" s="54"/>
      <c r="AR76" s="54"/>
      <c r="AS76" s="54"/>
      <c r="AT76" s="54"/>
      <c r="AU76" s="54"/>
      <c r="AV76" s="54"/>
      <c r="AW76" s="54"/>
    </row>
    <row r="77" spans="1:49" s="55" customFormat="1" ht="27.5" customHeight="1" outlineLevel="1" x14ac:dyDescent="0.35">
      <c r="A77" s="50" t="s">
        <v>106</v>
      </c>
      <c r="B77" s="42"/>
      <c r="C77" s="54"/>
      <c r="D77" s="54"/>
      <c r="E77" s="54"/>
      <c r="F77" s="54"/>
      <c r="G77" s="54"/>
      <c r="H77" s="42" t="s">
        <v>89</v>
      </c>
      <c r="I77" s="52">
        <v>1</v>
      </c>
      <c r="J77" s="52">
        <v>30000000</v>
      </c>
      <c r="K77" s="52">
        <f>J77/$B$2</f>
        <v>45734.705171223111</v>
      </c>
      <c r="L77" s="52">
        <f t="shared" si="147"/>
        <v>30000000</v>
      </c>
      <c r="M77" s="52">
        <f>+L77/655.957</f>
        <v>45734.705171223111</v>
      </c>
      <c r="N77" s="74"/>
      <c r="O77" s="74">
        <f>M77</f>
        <v>45734.705171223111</v>
      </c>
      <c r="P77" s="74"/>
      <c r="Q77" s="52"/>
      <c r="R77" s="22">
        <f t="shared" si="149"/>
        <v>0</v>
      </c>
      <c r="S77" s="52"/>
      <c r="T77" s="22">
        <f t="shared" si="150"/>
        <v>0</v>
      </c>
      <c r="U77" s="22">
        <f t="shared" si="151"/>
        <v>0</v>
      </c>
      <c r="V77" s="20">
        <f t="shared" si="152"/>
        <v>0</v>
      </c>
      <c r="W77" s="52">
        <v>31924750</v>
      </c>
      <c r="X77" s="22">
        <f t="shared" si="153"/>
        <v>48668.96763050017</v>
      </c>
      <c r="Y77" s="22">
        <f>+U77+W77</f>
        <v>31924750</v>
      </c>
      <c r="Z77" s="22">
        <f t="shared" si="154"/>
        <v>48668.96763050017</v>
      </c>
      <c r="AA77" s="22">
        <f>+L77-Y77</f>
        <v>-1924750</v>
      </c>
      <c r="AB77" s="22">
        <f t="shared" si="155"/>
        <v>-2934.2624592770562</v>
      </c>
      <c r="AC77" s="29"/>
      <c r="AD77" s="29"/>
      <c r="AE77" s="29">
        <f>AB77</f>
        <v>-2934.2624592770562</v>
      </c>
      <c r="AF77" s="85">
        <v>4573.4705171223113</v>
      </c>
      <c r="AG77" s="54"/>
      <c r="AH77" s="105">
        <f>AF77</f>
        <v>4573.4705171223113</v>
      </c>
      <c r="AI77" s="54"/>
      <c r="AJ77" s="54"/>
      <c r="AK77" s="54"/>
      <c r="AL77" s="54"/>
      <c r="AM77" s="115"/>
      <c r="AN77" s="54"/>
      <c r="AO77" s="54"/>
      <c r="AP77" s="54"/>
      <c r="AQ77" s="54"/>
      <c r="AR77" s="54"/>
      <c r="AS77" s="54"/>
      <c r="AT77" s="54"/>
      <c r="AU77" s="54"/>
      <c r="AV77" s="54"/>
      <c r="AW77" s="54"/>
    </row>
    <row r="78" spans="1:49" s="49" customFormat="1" ht="44.5" customHeight="1" x14ac:dyDescent="0.35">
      <c r="A78" s="45" t="s">
        <v>107</v>
      </c>
      <c r="B78" s="47" t="s">
        <v>89</v>
      </c>
      <c r="C78" s="48">
        <v>4</v>
      </c>
      <c r="D78" s="48">
        <v>3812</v>
      </c>
      <c r="E78" s="48">
        <f t="shared" si="145"/>
        <v>15248</v>
      </c>
      <c r="F78" s="48">
        <f t="shared" si="0"/>
        <v>10002032.335999999</v>
      </c>
      <c r="G78" s="48"/>
      <c r="H78" s="47"/>
      <c r="I78" s="48"/>
      <c r="J78" s="48" t="s">
        <v>2</v>
      </c>
      <c r="K78" s="48"/>
      <c r="L78" s="48">
        <f>SUM(L79:L80)</f>
        <v>13530590</v>
      </c>
      <c r="M78" s="48">
        <f>SUM(M79:M80)</f>
        <v>20627.251481423325</v>
      </c>
      <c r="N78" s="72">
        <f>SUM(N80:N80)</f>
        <v>0</v>
      </c>
      <c r="O78" s="72">
        <f>SUM(O79:O80)</f>
        <v>20627.251481423325</v>
      </c>
      <c r="P78" s="72">
        <f>SUM(P80:P80)</f>
        <v>0</v>
      </c>
      <c r="Q78" s="48">
        <f t="shared" ref="Q78:AG78" si="156">SUM(Q79:Q80)</f>
        <v>0</v>
      </c>
      <c r="R78" s="48">
        <f t="shared" si="156"/>
        <v>0</v>
      </c>
      <c r="S78" s="48">
        <f t="shared" si="156"/>
        <v>9530590</v>
      </c>
      <c r="T78" s="48">
        <f t="shared" si="156"/>
        <v>14529.290791926909</v>
      </c>
      <c r="U78" s="48">
        <f t="shared" si="156"/>
        <v>9530590</v>
      </c>
      <c r="V78" s="48">
        <f t="shared" si="156"/>
        <v>14529.290791926909</v>
      </c>
      <c r="W78" s="48">
        <f t="shared" si="156"/>
        <v>0</v>
      </c>
      <c r="X78" s="48">
        <f t="shared" si="156"/>
        <v>0</v>
      </c>
      <c r="Y78" s="48">
        <f t="shared" si="156"/>
        <v>9530590</v>
      </c>
      <c r="Z78" s="48">
        <f t="shared" si="156"/>
        <v>14529.290791926909</v>
      </c>
      <c r="AA78" s="48">
        <f>SUM(AA79:AA80)</f>
        <v>4000000</v>
      </c>
      <c r="AB78" s="48">
        <f t="shared" si="156"/>
        <v>6097.9606894964154</v>
      </c>
      <c r="AC78" s="48">
        <f t="shared" si="156"/>
        <v>0</v>
      </c>
      <c r="AD78" s="48">
        <f t="shared" si="156"/>
        <v>6097.9606894964154</v>
      </c>
      <c r="AE78" s="48">
        <f t="shared" si="156"/>
        <v>0</v>
      </c>
      <c r="AF78" s="48">
        <f>AF80</f>
        <v>6097.9606894964154</v>
      </c>
      <c r="AG78" s="48">
        <f t="shared" si="156"/>
        <v>0</v>
      </c>
      <c r="AH78" s="48">
        <f>AF78</f>
        <v>6097.9606894964154</v>
      </c>
      <c r="AI78" s="48"/>
      <c r="AJ78" s="17">
        <f>AB78-AF78</f>
        <v>0</v>
      </c>
      <c r="AK78" s="17">
        <f>AC78-AG78</f>
        <v>0</v>
      </c>
      <c r="AL78" s="17">
        <f>AD78-AH78</f>
        <v>0</v>
      </c>
      <c r="AM78" s="113">
        <f>AE78-AI78</f>
        <v>0</v>
      </c>
      <c r="AN78" s="17"/>
      <c r="AO78" s="17"/>
      <c r="AP78" s="17"/>
      <c r="AQ78" s="17"/>
      <c r="AR78" s="48"/>
      <c r="AS78" s="48"/>
      <c r="AT78" s="48"/>
      <c r="AU78" s="48"/>
      <c r="AV78" s="48"/>
      <c r="AW78" s="48"/>
    </row>
    <row r="79" spans="1:49" s="53" customFormat="1" ht="47.5" customHeight="1" outlineLevel="1" x14ac:dyDescent="0.35">
      <c r="A79" s="50" t="s">
        <v>107</v>
      </c>
      <c r="B79" s="135" t="s">
        <v>104</v>
      </c>
      <c r="C79" s="135"/>
      <c r="D79" s="135"/>
      <c r="E79" s="135"/>
      <c r="F79" s="135"/>
      <c r="G79" s="51"/>
      <c r="H79" s="52" t="s">
        <v>89</v>
      </c>
      <c r="I79" s="52">
        <v>1</v>
      </c>
      <c r="J79" s="52">
        <v>9530590</v>
      </c>
      <c r="K79" s="52">
        <f>J79/$B$2</f>
        <v>14529.290791926909</v>
      </c>
      <c r="L79" s="52">
        <f t="shared" ref="L79" si="157">+K79*655.957</f>
        <v>9530590</v>
      </c>
      <c r="M79" s="52">
        <f>+L79/655.957</f>
        <v>14529.290791926909</v>
      </c>
      <c r="N79" s="73"/>
      <c r="O79" s="75">
        <f>M79</f>
        <v>14529.290791926909</v>
      </c>
      <c r="P79" s="73"/>
      <c r="Q79" s="52"/>
      <c r="R79" s="22">
        <f t="shared" si="149"/>
        <v>0</v>
      </c>
      <c r="S79" s="52">
        <v>9530590</v>
      </c>
      <c r="T79" s="22">
        <f t="shared" si="150"/>
        <v>14529.290791926909</v>
      </c>
      <c r="U79" s="22">
        <f t="shared" si="151"/>
        <v>9530590</v>
      </c>
      <c r="V79" s="20">
        <f t="shared" si="152"/>
        <v>14529.290791926909</v>
      </c>
      <c r="W79" s="52"/>
      <c r="X79" s="22">
        <f t="shared" si="153"/>
        <v>0</v>
      </c>
      <c r="Y79" s="22">
        <f>+U79+W79</f>
        <v>9530590</v>
      </c>
      <c r="Z79" s="22">
        <f t="shared" si="154"/>
        <v>14529.290791926909</v>
      </c>
      <c r="AA79" s="22">
        <f>+L79-Y79</f>
        <v>0</v>
      </c>
      <c r="AB79" s="22">
        <f t="shared" ref="AB79:AB82" si="158">+AA79/655.957</f>
        <v>0</v>
      </c>
      <c r="AC79" s="51"/>
      <c r="AD79" s="51">
        <f>AB79</f>
        <v>0</v>
      </c>
      <c r="AE79" s="51"/>
      <c r="AF79" s="51"/>
      <c r="AG79" s="51"/>
      <c r="AH79" s="51"/>
      <c r="AI79" s="51">
        <f>AF79</f>
        <v>0</v>
      </c>
      <c r="AJ79" s="51"/>
      <c r="AK79" s="51"/>
      <c r="AL79" s="51"/>
      <c r="AM79" s="114"/>
      <c r="AN79" s="51"/>
      <c r="AO79" s="51"/>
      <c r="AP79" s="51"/>
      <c r="AQ79" s="51"/>
      <c r="AR79" s="51"/>
      <c r="AS79" s="51"/>
      <c r="AT79" s="51"/>
      <c r="AU79" s="51"/>
      <c r="AV79" s="51"/>
      <c r="AW79" s="51"/>
    </row>
    <row r="80" spans="1:49" s="56" customFormat="1" ht="32.5" customHeight="1" outlineLevel="1" x14ac:dyDescent="0.35">
      <c r="A80" s="50" t="s">
        <v>108</v>
      </c>
      <c r="B80" s="52"/>
      <c r="C80" s="52"/>
      <c r="D80" s="52"/>
      <c r="E80" s="52"/>
      <c r="F80" s="52"/>
      <c r="G80" s="52"/>
      <c r="H80" s="52" t="s">
        <v>89</v>
      </c>
      <c r="I80" s="52">
        <v>1</v>
      </c>
      <c r="J80" s="52">
        <v>4000000</v>
      </c>
      <c r="K80" s="52">
        <f>J80/$B$2</f>
        <v>6097.9606894964154</v>
      </c>
      <c r="L80" s="52">
        <f t="shared" si="147"/>
        <v>4000000</v>
      </c>
      <c r="M80" s="52">
        <f>+L80/655.957</f>
        <v>6097.9606894964154</v>
      </c>
      <c r="N80" s="75"/>
      <c r="O80" s="75">
        <f>M80</f>
        <v>6097.9606894964154</v>
      </c>
      <c r="P80" s="75"/>
      <c r="Q80" s="52"/>
      <c r="R80" s="22">
        <f t="shared" si="149"/>
        <v>0</v>
      </c>
      <c r="S80" s="52"/>
      <c r="T80" s="22">
        <f t="shared" si="150"/>
        <v>0</v>
      </c>
      <c r="U80" s="22">
        <f t="shared" si="151"/>
        <v>0</v>
      </c>
      <c r="V80" s="20">
        <f t="shared" si="152"/>
        <v>0</v>
      </c>
      <c r="W80" s="52"/>
      <c r="X80" s="22">
        <f t="shared" si="153"/>
        <v>0</v>
      </c>
      <c r="Y80" s="22">
        <f>+U80+W80</f>
        <v>0</v>
      </c>
      <c r="Z80" s="22">
        <f t="shared" si="154"/>
        <v>0</v>
      </c>
      <c r="AA80" s="22">
        <f>+L80-Y80</f>
        <v>4000000</v>
      </c>
      <c r="AB80" s="22">
        <f t="shared" si="158"/>
        <v>6097.9606894964154</v>
      </c>
      <c r="AC80" s="52"/>
      <c r="AD80" s="52">
        <f>AB80</f>
        <v>6097.9606894964154</v>
      </c>
      <c r="AE80" s="52"/>
      <c r="AF80" s="52">
        <v>6097.9606894964154</v>
      </c>
      <c r="AG80" s="52"/>
      <c r="AH80" s="52">
        <f>AF80</f>
        <v>6097.9606894964154</v>
      </c>
      <c r="AI80" s="52"/>
      <c r="AJ80" s="52"/>
      <c r="AK80" s="52"/>
      <c r="AL80" s="52"/>
      <c r="AM80" s="116"/>
      <c r="AN80" s="52"/>
      <c r="AO80" s="52"/>
      <c r="AP80" s="52"/>
      <c r="AQ80" s="52"/>
      <c r="AR80" s="52"/>
      <c r="AS80" s="52"/>
      <c r="AT80" s="52"/>
      <c r="AU80" s="52"/>
      <c r="AV80" s="52"/>
      <c r="AW80" s="52"/>
    </row>
    <row r="81" spans="1:49" s="49" customFormat="1" ht="51" customHeight="1" x14ac:dyDescent="0.35">
      <c r="A81" s="45" t="s">
        <v>109</v>
      </c>
      <c r="B81" s="47" t="s">
        <v>89</v>
      </c>
      <c r="C81" s="48">
        <v>2</v>
      </c>
      <c r="D81" s="48">
        <v>33539</v>
      </c>
      <c r="E81" s="48">
        <f t="shared" si="145"/>
        <v>67078</v>
      </c>
      <c r="F81" s="48">
        <f t="shared" si="0"/>
        <v>44000283.645999998</v>
      </c>
      <c r="G81" s="48"/>
      <c r="H81" s="47" t="s">
        <v>89</v>
      </c>
      <c r="I81" s="48">
        <v>1</v>
      </c>
      <c r="J81" s="48">
        <v>17200000</v>
      </c>
      <c r="K81" s="48">
        <f>J81/$B$2</f>
        <v>26221.230964834587</v>
      </c>
      <c r="L81" s="48">
        <f>I81*J81</f>
        <v>17200000</v>
      </c>
      <c r="M81" s="48">
        <f t="shared" si="148"/>
        <v>26221.230964834587</v>
      </c>
      <c r="N81" s="72"/>
      <c r="O81" s="72"/>
      <c r="P81" s="72">
        <f>M81</f>
        <v>26221.230964834587</v>
      </c>
      <c r="Q81" s="48"/>
      <c r="R81" s="18">
        <f t="shared" si="149"/>
        <v>0</v>
      </c>
      <c r="S81" s="48">
        <v>17171592</v>
      </c>
      <c r="T81" s="18">
        <f t="shared" si="150"/>
        <v>26177.923248017782</v>
      </c>
      <c r="U81" s="18">
        <f t="shared" si="151"/>
        <v>17171592</v>
      </c>
      <c r="V81" s="16">
        <f t="shared" si="152"/>
        <v>26177.923248017782</v>
      </c>
      <c r="W81" s="48"/>
      <c r="X81" s="18">
        <f t="shared" si="153"/>
        <v>0</v>
      </c>
      <c r="Y81" s="18">
        <f>+U81+W81</f>
        <v>17171592</v>
      </c>
      <c r="Z81" s="18">
        <f t="shared" si="154"/>
        <v>26177.923248017782</v>
      </c>
      <c r="AA81" s="18">
        <f>+L81-Y81</f>
        <v>28408</v>
      </c>
      <c r="AB81" s="18">
        <f t="shared" si="158"/>
        <v>43.307716816803541</v>
      </c>
      <c r="AC81" s="18">
        <v>0</v>
      </c>
      <c r="AD81" s="18">
        <v>0</v>
      </c>
      <c r="AE81" s="18">
        <f>AB81</f>
        <v>43.307716816803541</v>
      </c>
      <c r="AF81" s="18"/>
      <c r="AG81" s="18"/>
      <c r="AH81" s="18"/>
      <c r="AI81" s="18">
        <f>AF81</f>
        <v>0</v>
      </c>
      <c r="AJ81" s="17">
        <f t="shared" ref="AJ81:AM83" si="159">AB81-AF81</f>
        <v>43.307716816803541</v>
      </c>
      <c r="AK81" s="17">
        <f t="shared" si="159"/>
        <v>0</v>
      </c>
      <c r="AL81" s="17">
        <f t="shared" si="159"/>
        <v>0</v>
      </c>
      <c r="AM81" s="113">
        <f t="shared" si="159"/>
        <v>43.307716816803541</v>
      </c>
      <c r="AN81" s="17"/>
      <c r="AO81" s="17"/>
      <c r="AP81" s="17"/>
      <c r="AQ81" s="17"/>
      <c r="AR81" s="48"/>
      <c r="AS81" s="48"/>
      <c r="AT81" s="48"/>
      <c r="AU81" s="48"/>
      <c r="AV81" s="48"/>
      <c r="AW81" s="48"/>
    </row>
    <row r="82" spans="1:49" s="49" customFormat="1" ht="43" customHeight="1" x14ac:dyDescent="0.35">
      <c r="A82" s="45" t="s">
        <v>110</v>
      </c>
      <c r="B82" s="47" t="s">
        <v>89</v>
      </c>
      <c r="C82" s="48">
        <v>1</v>
      </c>
      <c r="D82" s="48">
        <v>18293.882068489245</v>
      </c>
      <c r="E82" s="48">
        <f>C82*D82</f>
        <v>18293.882068489245</v>
      </c>
      <c r="F82" s="48">
        <f>+E82*655.957</f>
        <v>12000000</v>
      </c>
      <c r="G82" s="48"/>
      <c r="H82" s="47" t="s">
        <v>89</v>
      </c>
      <c r="I82" s="48">
        <v>1</v>
      </c>
      <c r="J82" s="48">
        <v>6000000</v>
      </c>
      <c r="K82" s="48">
        <f>J82/$B$2</f>
        <v>9146.9410342446226</v>
      </c>
      <c r="L82" s="48">
        <f>I82*J82</f>
        <v>6000000</v>
      </c>
      <c r="M82" s="48">
        <f>+L82/655.957</f>
        <v>9146.9410342446226</v>
      </c>
      <c r="N82" s="72"/>
      <c r="O82" s="72"/>
      <c r="P82" s="72">
        <f>M82</f>
        <v>9146.9410342446226</v>
      </c>
      <c r="Q82" s="48"/>
      <c r="R82" s="18">
        <f t="shared" si="149"/>
        <v>0</v>
      </c>
      <c r="S82" s="48">
        <v>3564882</v>
      </c>
      <c r="T82" s="18">
        <f t="shared" si="150"/>
        <v>5434.62757467334</v>
      </c>
      <c r="U82" s="18">
        <f t="shared" si="151"/>
        <v>3564882</v>
      </c>
      <c r="V82" s="16">
        <f t="shared" si="152"/>
        <v>5434.62757467334</v>
      </c>
      <c r="W82" s="48">
        <v>1352583</v>
      </c>
      <c r="X82" s="18">
        <f t="shared" si="153"/>
        <v>2061.9994908202825</v>
      </c>
      <c r="Y82" s="18">
        <f>+U82+W82</f>
        <v>4917465</v>
      </c>
      <c r="Z82" s="18">
        <f t="shared" si="154"/>
        <v>7496.6270654936225</v>
      </c>
      <c r="AA82" s="18">
        <f>+L82-Y82</f>
        <v>1082535</v>
      </c>
      <c r="AB82" s="18">
        <f t="shared" si="158"/>
        <v>1650.3139687510004</v>
      </c>
      <c r="AC82" s="18">
        <v>0</v>
      </c>
      <c r="AD82" s="18">
        <v>0</v>
      </c>
      <c r="AE82" s="18">
        <f>AB82</f>
        <v>1650.3139687510004</v>
      </c>
      <c r="AF82" s="18"/>
      <c r="AG82" s="18"/>
      <c r="AH82" s="18">
        <f t="shared" ref="AH82" si="160">+AG82/655.957</f>
        <v>0</v>
      </c>
      <c r="AI82" s="18">
        <f t="shared" ref="AI82" si="161">+AH82/655.957</f>
        <v>0</v>
      </c>
      <c r="AJ82" s="17">
        <f t="shared" si="159"/>
        <v>1650.3139687510004</v>
      </c>
      <c r="AK82" s="17">
        <f t="shared" si="159"/>
        <v>0</v>
      </c>
      <c r="AL82" s="17">
        <f t="shared" si="159"/>
        <v>0</v>
      </c>
      <c r="AM82" s="113">
        <f t="shared" si="159"/>
        <v>1650.3139687510004</v>
      </c>
      <c r="AN82" s="17"/>
      <c r="AO82" s="17"/>
      <c r="AP82" s="17"/>
      <c r="AQ82" s="17"/>
      <c r="AR82" s="48"/>
      <c r="AS82" s="48"/>
      <c r="AT82" s="48"/>
      <c r="AU82" s="48"/>
      <c r="AV82" s="48"/>
      <c r="AW82" s="48"/>
    </row>
    <row r="83" spans="1:49" s="49" customFormat="1" ht="27.5" customHeight="1" x14ac:dyDescent="0.35">
      <c r="A83" s="45" t="s">
        <v>111</v>
      </c>
      <c r="B83" s="47"/>
      <c r="C83" s="48"/>
      <c r="D83" s="48"/>
      <c r="E83" s="48"/>
      <c r="F83" s="48"/>
      <c r="G83" s="48"/>
      <c r="H83" s="47"/>
      <c r="I83" s="48"/>
      <c r="J83" s="48"/>
      <c r="K83" s="48"/>
      <c r="L83" s="48">
        <f>SUM(L84:L91)</f>
        <v>213080000</v>
      </c>
      <c r="M83" s="48">
        <f>SUM(M84:M91)</f>
        <v>324838.36592947401</v>
      </c>
      <c r="N83" s="48">
        <f>SUM(N84:N91)</f>
        <v>0</v>
      </c>
      <c r="O83" s="48">
        <f>SUM(O84:O91)</f>
        <v>324838.36592947401</v>
      </c>
      <c r="P83" s="48">
        <f>SUM(P84:P91)</f>
        <v>0</v>
      </c>
      <c r="Q83" s="48">
        <f t="shared" ref="Q83:X83" si="162">SUM(Q84:Q90)</f>
        <v>0</v>
      </c>
      <c r="R83" s="48">
        <f t="shared" si="162"/>
        <v>0</v>
      </c>
      <c r="S83" s="48">
        <f t="shared" si="162"/>
        <v>0</v>
      </c>
      <c r="T83" s="48">
        <f t="shared" si="162"/>
        <v>0</v>
      </c>
      <c r="U83" s="48">
        <f t="shared" si="162"/>
        <v>0</v>
      </c>
      <c r="V83" s="48">
        <f t="shared" si="162"/>
        <v>0</v>
      </c>
      <c r="W83" s="48">
        <f t="shared" si="162"/>
        <v>117285542</v>
      </c>
      <c r="X83" s="48">
        <f t="shared" si="162"/>
        <v>178800.65614057021</v>
      </c>
      <c r="Y83" s="48">
        <f t="shared" ref="Y83:AF83" si="163">SUM(Y84:Y91)</f>
        <v>117285542</v>
      </c>
      <c r="Z83" s="48">
        <f t="shared" si="163"/>
        <v>178800.65614057021</v>
      </c>
      <c r="AA83" s="48">
        <f t="shared" si="163"/>
        <v>95794458</v>
      </c>
      <c r="AB83" s="48">
        <f t="shared" si="163"/>
        <v>146037.70978890386</v>
      </c>
      <c r="AC83" s="48">
        <f t="shared" si="163"/>
        <v>0</v>
      </c>
      <c r="AD83" s="48">
        <f t="shared" si="163"/>
        <v>146037.70978890386</v>
      </c>
      <c r="AE83" s="48">
        <f t="shared" si="163"/>
        <v>0</v>
      </c>
      <c r="AF83" s="48">
        <f t="shared" si="163"/>
        <v>143363.0558100607</v>
      </c>
      <c r="AG83" s="48">
        <f t="shared" ref="AG83:AI83" si="164">SUM(AG84:AG91)</f>
        <v>0</v>
      </c>
      <c r="AH83" s="48">
        <f>AF83</f>
        <v>143363.0558100607</v>
      </c>
      <c r="AI83" s="48">
        <f t="shared" si="164"/>
        <v>0</v>
      </c>
      <c r="AJ83" s="17">
        <f t="shared" si="159"/>
        <v>2674.6539788431546</v>
      </c>
      <c r="AK83" s="17">
        <f t="shared" si="159"/>
        <v>0</v>
      </c>
      <c r="AL83" s="17">
        <f t="shared" si="159"/>
        <v>2674.6539788431546</v>
      </c>
      <c r="AM83" s="113">
        <f t="shared" si="159"/>
        <v>0</v>
      </c>
      <c r="AN83" s="17"/>
      <c r="AO83" s="17"/>
      <c r="AP83" s="17"/>
      <c r="AQ83" s="17"/>
      <c r="AR83" s="48"/>
      <c r="AS83" s="48"/>
      <c r="AT83" s="48"/>
      <c r="AU83" s="48"/>
      <c r="AV83" s="48"/>
      <c r="AW83" s="48"/>
    </row>
    <row r="84" spans="1:49" s="55" customFormat="1" ht="27.5" customHeight="1" outlineLevel="1" x14ac:dyDescent="0.35">
      <c r="A84" s="50" t="s">
        <v>112</v>
      </c>
      <c r="B84" s="42"/>
      <c r="C84" s="54"/>
      <c r="D84" s="54"/>
      <c r="E84" s="54"/>
      <c r="F84" s="54"/>
      <c r="G84" s="54"/>
      <c r="H84" s="42" t="s">
        <v>89</v>
      </c>
      <c r="I84" s="54">
        <v>1</v>
      </c>
      <c r="J84" s="54">
        <v>500000</v>
      </c>
      <c r="K84" s="54">
        <f t="shared" ref="K84:K90" si="165">J84/$B$2</f>
        <v>762.24508618705192</v>
      </c>
      <c r="L84" s="54">
        <f t="shared" si="147"/>
        <v>500000</v>
      </c>
      <c r="M84" s="54">
        <f t="shared" si="148"/>
        <v>762.24508618705192</v>
      </c>
      <c r="N84" s="74"/>
      <c r="O84" s="74">
        <f t="shared" ref="O84:O90" si="166">M84</f>
        <v>762.24508618705192</v>
      </c>
      <c r="P84" s="74"/>
      <c r="Q84" s="54"/>
      <c r="R84" s="22">
        <f t="shared" si="149"/>
        <v>0</v>
      </c>
      <c r="S84" s="54"/>
      <c r="T84" s="22">
        <f t="shared" si="150"/>
        <v>0</v>
      </c>
      <c r="U84" s="22">
        <f t="shared" si="151"/>
        <v>0</v>
      </c>
      <c r="V84" s="20">
        <f t="shared" si="152"/>
        <v>0</v>
      </c>
      <c r="W84" s="54">
        <v>169000</v>
      </c>
      <c r="X84" s="22">
        <f t="shared" si="153"/>
        <v>257.63883913122356</v>
      </c>
      <c r="Y84" s="22">
        <f t="shared" ref="Y84:Y90" si="167">+U84+W84</f>
        <v>169000</v>
      </c>
      <c r="Z84" s="22">
        <f t="shared" si="154"/>
        <v>257.63883913122356</v>
      </c>
      <c r="AA84" s="22">
        <f t="shared" ref="AA84:AA90" si="168">+L84-Y84</f>
        <v>331000</v>
      </c>
      <c r="AB84" s="22">
        <f t="shared" ref="AB84:AB90" si="169">+AA84/655.957</f>
        <v>504.60624705582836</v>
      </c>
      <c r="AC84" s="54"/>
      <c r="AD84" s="54">
        <f>AB84</f>
        <v>504.60624705582836</v>
      </c>
      <c r="AE84" s="54"/>
      <c r="AF84" s="54"/>
      <c r="AG84" s="54"/>
      <c r="AH84" s="54">
        <f>AF84</f>
        <v>0</v>
      </c>
      <c r="AI84" s="54"/>
      <c r="AJ84" s="54"/>
      <c r="AK84" s="54"/>
      <c r="AL84" s="54"/>
      <c r="AM84" s="115"/>
      <c r="AN84" s="54"/>
      <c r="AO84" s="54"/>
      <c r="AP84" s="54"/>
      <c r="AQ84" s="54"/>
      <c r="AR84" s="54"/>
      <c r="AS84" s="54"/>
      <c r="AT84" s="54"/>
      <c r="AU84" s="54"/>
      <c r="AV84" s="54"/>
      <c r="AW84" s="54"/>
    </row>
    <row r="85" spans="1:49" s="55" customFormat="1" ht="27.5" customHeight="1" outlineLevel="1" x14ac:dyDescent="0.35">
      <c r="A85" s="50" t="s">
        <v>113</v>
      </c>
      <c r="B85" s="42"/>
      <c r="C85" s="54"/>
      <c r="D85" s="54"/>
      <c r="E85" s="54"/>
      <c r="F85" s="54"/>
      <c r="G85" s="54"/>
      <c r="H85" s="42" t="s">
        <v>89</v>
      </c>
      <c r="I85" s="54">
        <v>29</v>
      </c>
      <c r="J85" s="54">
        <f>31000000/29</f>
        <v>1068965.5172413792</v>
      </c>
      <c r="K85" s="54">
        <f t="shared" si="165"/>
        <v>1629.6274256412833</v>
      </c>
      <c r="L85" s="54">
        <f t="shared" si="147"/>
        <v>31000000</v>
      </c>
      <c r="M85" s="54">
        <f t="shared" si="148"/>
        <v>47259.195343597217</v>
      </c>
      <c r="N85" s="74"/>
      <c r="O85" s="74">
        <f t="shared" si="166"/>
        <v>47259.195343597217</v>
      </c>
      <c r="P85" s="74"/>
      <c r="Q85" s="54"/>
      <c r="R85" s="22">
        <f t="shared" si="149"/>
        <v>0</v>
      </c>
      <c r="S85" s="54"/>
      <c r="T85" s="22">
        <f t="shared" si="150"/>
        <v>0</v>
      </c>
      <c r="U85" s="22">
        <f t="shared" si="151"/>
        <v>0</v>
      </c>
      <c r="V85" s="20">
        <f t="shared" si="152"/>
        <v>0</v>
      </c>
      <c r="W85" s="54">
        <v>27183500</v>
      </c>
      <c r="X85" s="22">
        <f t="shared" si="153"/>
        <v>41440.978600731454</v>
      </c>
      <c r="Y85" s="22">
        <f t="shared" si="167"/>
        <v>27183500</v>
      </c>
      <c r="Z85" s="22">
        <f t="shared" si="154"/>
        <v>41440.978600731454</v>
      </c>
      <c r="AA85" s="22">
        <f t="shared" si="168"/>
        <v>3816500</v>
      </c>
      <c r="AB85" s="22">
        <f t="shared" si="169"/>
        <v>5818.2167428657667</v>
      </c>
      <c r="AC85" s="54"/>
      <c r="AD85" s="54">
        <f t="shared" ref="AD85:AD90" si="170">AB85</f>
        <v>5818.2167428657667</v>
      </c>
      <c r="AE85" s="54"/>
      <c r="AF85" s="54"/>
      <c r="AG85" s="54"/>
      <c r="AH85" s="54">
        <f t="shared" ref="AH85:AH87" si="171">AF85</f>
        <v>0</v>
      </c>
      <c r="AI85" s="54"/>
      <c r="AJ85" s="54"/>
      <c r="AK85" s="54"/>
      <c r="AL85" s="54"/>
      <c r="AM85" s="115"/>
      <c r="AN85" s="54"/>
      <c r="AO85" s="54"/>
      <c r="AP85" s="54"/>
      <c r="AQ85" s="54"/>
      <c r="AR85" s="54"/>
      <c r="AS85" s="54"/>
      <c r="AT85" s="54"/>
      <c r="AU85" s="54"/>
      <c r="AV85" s="54"/>
      <c r="AW85" s="54"/>
    </row>
    <row r="86" spans="1:49" s="55" customFormat="1" ht="27.5" customHeight="1" outlineLevel="1" x14ac:dyDescent="0.35">
      <c r="A86" s="50" t="s">
        <v>114</v>
      </c>
      <c r="B86" s="42"/>
      <c r="C86" s="54"/>
      <c r="D86" s="54"/>
      <c r="E86" s="54"/>
      <c r="F86" s="54"/>
      <c r="G86" s="54"/>
      <c r="H86" s="42" t="s">
        <v>89</v>
      </c>
      <c r="I86" s="54">
        <v>1</v>
      </c>
      <c r="J86" s="54">
        <v>7000000</v>
      </c>
      <c r="K86" s="54">
        <f t="shared" si="165"/>
        <v>10671.431206618727</v>
      </c>
      <c r="L86" s="54">
        <f t="shared" si="147"/>
        <v>7000000</v>
      </c>
      <c r="M86" s="54">
        <f t="shared" si="148"/>
        <v>10671.431206618727</v>
      </c>
      <c r="N86" s="74"/>
      <c r="O86" s="74">
        <f t="shared" si="166"/>
        <v>10671.431206618727</v>
      </c>
      <c r="P86" s="74"/>
      <c r="Q86" s="54"/>
      <c r="R86" s="22">
        <f t="shared" si="149"/>
        <v>0</v>
      </c>
      <c r="S86" s="54"/>
      <c r="T86" s="22">
        <f t="shared" si="150"/>
        <v>0</v>
      </c>
      <c r="U86" s="22">
        <f t="shared" si="151"/>
        <v>0</v>
      </c>
      <c r="V86" s="20">
        <f t="shared" si="152"/>
        <v>0</v>
      </c>
      <c r="W86" s="54">
        <v>6930902</v>
      </c>
      <c r="X86" s="22">
        <f t="shared" si="153"/>
        <v>10566.091984688021</v>
      </c>
      <c r="Y86" s="22">
        <f t="shared" si="167"/>
        <v>6930902</v>
      </c>
      <c r="Z86" s="22">
        <f t="shared" si="154"/>
        <v>10566.091984688021</v>
      </c>
      <c r="AA86" s="22">
        <f t="shared" si="168"/>
        <v>69098</v>
      </c>
      <c r="AB86" s="22">
        <f t="shared" si="169"/>
        <v>105.33922193070582</v>
      </c>
      <c r="AC86" s="54"/>
      <c r="AD86" s="54">
        <f t="shared" si="170"/>
        <v>105.33922193070582</v>
      </c>
      <c r="AE86" s="54"/>
      <c r="AF86" s="54"/>
      <c r="AG86" s="54"/>
      <c r="AH86" s="54">
        <f t="shared" si="171"/>
        <v>0</v>
      </c>
      <c r="AI86" s="54"/>
      <c r="AJ86" s="54"/>
      <c r="AK86" s="54"/>
      <c r="AL86" s="54"/>
      <c r="AM86" s="115"/>
      <c r="AN86" s="54"/>
      <c r="AO86" s="54"/>
      <c r="AP86" s="54"/>
      <c r="AQ86" s="54"/>
      <c r="AR86" s="54"/>
      <c r="AS86" s="54"/>
      <c r="AT86" s="54"/>
      <c r="AU86" s="54"/>
      <c r="AV86" s="54"/>
      <c r="AW86" s="54"/>
    </row>
    <row r="87" spans="1:49" s="55" customFormat="1" ht="27.5" customHeight="1" outlineLevel="1" x14ac:dyDescent="0.35">
      <c r="A87" s="50" t="s">
        <v>115</v>
      </c>
      <c r="B87" s="42"/>
      <c r="C87" s="54"/>
      <c r="D87" s="54"/>
      <c r="E87" s="54"/>
      <c r="F87" s="54"/>
      <c r="G87" s="54"/>
      <c r="H87" s="42" t="s">
        <v>89</v>
      </c>
      <c r="I87" s="54">
        <v>1</v>
      </c>
      <c r="J87" s="54">
        <v>3500000</v>
      </c>
      <c r="K87" s="54">
        <f t="shared" si="165"/>
        <v>5335.7156033093634</v>
      </c>
      <c r="L87" s="54">
        <f t="shared" si="147"/>
        <v>3500000</v>
      </c>
      <c r="M87" s="54">
        <f t="shared" si="148"/>
        <v>5335.7156033093634</v>
      </c>
      <c r="N87" s="74"/>
      <c r="O87" s="74">
        <f t="shared" si="166"/>
        <v>5335.7156033093634</v>
      </c>
      <c r="P87" s="74"/>
      <c r="Q87" s="54"/>
      <c r="R87" s="22">
        <f t="shared" si="149"/>
        <v>0</v>
      </c>
      <c r="S87" s="54"/>
      <c r="T87" s="22">
        <f t="shared" si="150"/>
        <v>0</v>
      </c>
      <c r="U87" s="22">
        <f t="shared" si="151"/>
        <v>0</v>
      </c>
      <c r="V87" s="20">
        <f t="shared" si="152"/>
        <v>0</v>
      </c>
      <c r="W87" s="54">
        <v>3150000</v>
      </c>
      <c r="X87" s="22">
        <f t="shared" si="153"/>
        <v>4802.144042978427</v>
      </c>
      <c r="Y87" s="22">
        <f t="shared" si="167"/>
        <v>3150000</v>
      </c>
      <c r="Z87" s="22">
        <f t="shared" si="154"/>
        <v>4802.144042978427</v>
      </c>
      <c r="AA87" s="22">
        <f t="shared" si="168"/>
        <v>350000</v>
      </c>
      <c r="AB87" s="22">
        <f t="shared" si="169"/>
        <v>533.57156033093634</v>
      </c>
      <c r="AC87" s="54"/>
      <c r="AD87" s="54">
        <f t="shared" si="170"/>
        <v>533.57156033093634</v>
      </c>
      <c r="AE87" s="54"/>
      <c r="AF87" s="54"/>
      <c r="AG87" s="54"/>
      <c r="AH87" s="54">
        <f t="shared" si="171"/>
        <v>0</v>
      </c>
      <c r="AI87" s="54"/>
      <c r="AJ87" s="54"/>
      <c r="AK87" s="54"/>
      <c r="AL87" s="54"/>
      <c r="AM87" s="115"/>
      <c r="AN87" s="54"/>
      <c r="AO87" s="54"/>
      <c r="AP87" s="54"/>
      <c r="AQ87" s="54"/>
      <c r="AR87" s="54"/>
      <c r="AS87" s="54"/>
      <c r="AT87" s="54"/>
      <c r="AU87" s="54"/>
      <c r="AV87" s="54"/>
      <c r="AW87" s="54"/>
    </row>
    <row r="88" spans="1:49" s="55" customFormat="1" ht="27.5" customHeight="1" outlineLevel="1" x14ac:dyDescent="0.35">
      <c r="A88" s="50" t="s">
        <v>116</v>
      </c>
      <c r="B88" s="42"/>
      <c r="C88" s="54"/>
      <c r="D88" s="54"/>
      <c r="E88" s="54"/>
      <c r="F88" s="54"/>
      <c r="G88" s="54"/>
      <c r="H88" s="42" t="s">
        <v>29</v>
      </c>
      <c r="I88" s="54">
        <v>24</v>
      </c>
      <c r="J88" s="54">
        <v>6670000</v>
      </c>
      <c r="K88" s="54">
        <f t="shared" si="165"/>
        <v>10168.349449735273</v>
      </c>
      <c r="L88" s="54">
        <f t="shared" si="147"/>
        <v>160080000</v>
      </c>
      <c r="M88" s="54">
        <f t="shared" si="148"/>
        <v>244040.38679364652</v>
      </c>
      <c r="N88" s="74"/>
      <c r="O88" s="74">
        <f t="shared" si="166"/>
        <v>244040.38679364652</v>
      </c>
      <c r="P88" s="74"/>
      <c r="Q88" s="54"/>
      <c r="R88" s="22">
        <f t="shared" si="149"/>
        <v>0</v>
      </c>
      <c r="S88" s="54"/>
      <c r="T88" s="22">
        <f t="shared" si="150"/>
        <v>0</v>
      </c>
      <c r="U88" s="22">
        <f t="shared" si="151"/>
        <v>0</v>
      </c>
      <c r="V88" s="20">
        <f t="shared" si="152"/>
        <v>0</v>
      </c>
      <c r="W88" s="54">
        <v>79129640</v>
      </c>
      <c r="X88" s="22">
        <f t="shared" si="153"/>
        <v>120632.35852350078</v>
      </c>
      <c r="Y88" s="22">
        <f t="shared" si="167"/>
        <v>79129640</v>
      </c>
      <c r="Z88" s="22">
        <f t="shared" si="154"/>
        <v>120632.35852350078</v>
      </c>
      <c r="AA88" s="22">
        <f t="shared" si="168"/>
        <v>80950360</v>
      </c>
      <c r="AB88" s="22">
        <f t="shared" si="169"/>
        <v>123408.02827014576</v>
      </c>
      <c r="AC88" s="54"/>
      <c r="AD88" s="54">
        <f t="shared" si="170"/>
        <v>123408.02827014576</v>
      </c>
      <c r="AE88" s="54"/>
      <c r="AF88" s="86">
        <v>122020.19339682326</v>
      </c>
      <c r="AG88" s="54"/>
      <c r="AH88" s="54"/>
      <c r="AI88" s="54"/>
      <c r="AJ88" s="54"/>
      <c r="AK88" s="54"/>
      <c r="AL88" s="54"/>
      <c r="AM88" s="115"/>
      <c r="AN88" s="54"/>
      <c r="AO88" s="54"/>
      <c r="AP88" s="54"/>
      <c r="AQ88" s="54"/>
      <c r="AR88" s="54"/>
      <c r="AS88" s="54"/>
      <c r="AT88" s="54"/>
      <c r="AU88" s="54"/>
      <c r="AV88" s="54"/>
      <c r="AW88" s="54"/>
    </row>
    <row r="89" spans="1:49" s="55" customFormat="1" ht="27.5" customHeight="1" outlineLevel="1" x14ac:dyDescent="0.35">
      <c r="A89" s="50" t="s">
        <v>117</v>
      </c>
      <c r="B89" s="42"/>
      <c r="C89" s="54"/>
      <c r="D89" s="54"/>
      <c r="E89" s="54"/>
      <c r="F89" s="54"/>
      <c r="G89" s="54"/>
      <c r="H89" s="42" t="s">
        <v>89</v>
      </c>
      <c r="I89" s="54">
        <v>1</v>
      </c>
      <c r="J89" s="54">
        <v>7000000</v>
      </c>
      <c r="K89" s="54">
        <f t="shared" si="165"/>
        <v>10671.431206618727</v>
      </c>
      <c r="L89" s="54">
        <f t="shared" si="147"/>
        <v>7000000</v>
      </c>
      <c r="M89" s="54">
        <f t="shared" si="148"/>
        <v>10671.431206618727</v>
      </c>
      <c r="N89" s="74"/>
      <c r="O89" s="74">
        <f t="shared" si="166"/>
        <v>10671.431206618727</v>
      </c>
      <c r="P89" s="74"/>
      <c r="Q89" s="54"/>
      <c r="R89" s="22">
        <f t="shared" si="149"/>
        <v>0</v>
      </c>
      <c r="S89" s="54"/>
      <c r="T89" s="22">
        <f t="shared" si="150"/>
        <v>0</v>
      </c>
      <c r="U89" s="22">
        <f t="shared" si="151"/>
        <v>0</v>
      </c>
      <c r="V89" s="20">
        <f t="shared" si="152"/>
        <v>0</v>
      </c>
      <c r="W89" s="54"/>
      <c r="X89" s="22">
        <f t="shared" si="153"/>
        <v>0</v>
      </c>
      <c r="Y89" s="22">
        <f t="shared" si="167"/>
        <v>0</v>
      </c>
      <c r="Z89" s="22">
        <f t="shared" si="154"/>
        <v>0</v>
      </c>
      <c r="AA89" s="22">
        <f t="shared" si="168"/>
        <v>7000000</v>
      </c>
      <c r="AB89" s="22">
        <f t="shared" si="169"/>
        <v>10671.431206618727</v>
      </c>
      <c r="AC89" s="54"/>
      <c r="AD89" s="54">
        <f t="shared" si="170"/>
        <v>10671.431206618727</v>
      </c>
      <c r="AE89" s="54"/>
      <c r="AF89" s="86">
        <v>10671.431206618727</v>
      </c>
      <c r="AG89" s="54"/>
      <c r="AH89" s="54"/>
      <c r="AI89" s="54"/>
      <c r="AJ89" s="54"/>
      <c r="AK89" s="54"/>
      <c r="AL89" s="54"/>
      <c r="AM89" s="115"/>
      <c r="AN89" s="54"/>
      <c r="AO89" s="54"/>
      <c r="AP89" s="54"/>
      <c r="AQ89" s="54"/>
      <c r="AR89" s="54"/>
      <c r="AS89" s="54"/>
      <c r="AT89" s="54"/>
      <c r="AU89" s="54"/>
      <c r="AV89" s="54"/>
      <c r="AW89" s="54"/>
    </row>
    <row r="90" spans="1:49" s="55" customFormat="1" ht="27.5" customHeight="1" outlineLevel="1" x14ac:dyDescent="0.35">
      <c r="A90" s="50" t="s">
        <v>118</v>
      </c>
      <c r="B90" s="42"/>
      <c r="C90" s="54"/>
      <c r="D90" s="54"/>
      <c r="E90" s="54"/>
      <c r="F90" s="54"/>
      <c r="G90" s="54"/>
      <c r="H90" s="42" t="s">
        <v>89</v>
      </c>
      <c r="I90" s="54">
        <v>1</v>
      </c>
      <c r="J90" s="54">
        <v>4000000</v>
      </c>
      <c r="K90" s="54">
        <f t="shared" si="165"/>
        <v>6097.9606894964154</v>
      </c>
      <c r="L90" s="54">
        <f t="shared" si="147"/>
        <v>4000000</v>
      </c>
      <c r="M90" s="54">
        <f t="shared" si="148"/>
        <v>6097.9606894964154</v>
      </c>
      <c r="N90" s="74"/>
      <c r="O90" s="74">
        <f t="shared" si="166"/>
        <v>6097.9606894964154</v>
      </c>
      <c r="P90" s="74"/>
      <c r="Q90" s="54"/>
      <c r="R90" s="22">
        <f t="shared" si="149"/>
        <v>0</v>
      </c>
      <c r="S90" s="54"/>
      <c r="T90" s="22">
        <f t="shared" si="150"/>
        <v>0</v>
      </c>
      <c r="U90" s="22">
        <f t="shared" si="151"/>
        <v>0</v>
      </c>
      <c r="V90" s="20">
        <f t="shared" si="152"/>
        <v>0</v>
      </c>
      <c r="W90" s="54">
        <v>722500</v>
      </c>
      <c r="X90" s="22">
        <f t="shared" si="153"/>
        <v>1101.44414954029</v>
      </c>
      <c r="Y90" s="22">
        <f t="shared" si="167"/>
        <v>722500</v>
      </c>
      <c r="Z90" s="22">
        <f t="shared" si="154"/>
        <v>1101.44414954029</v>
      </c>
      <c r="AA90" s="22">
        <f t="shared" si="168"/>
        <v>3277500</v>
      </c>
      <c r="AB90" s="22">
        <f t="shared" si="169"/>
        <v>4996.5165399561256</v>
      </c>
      <c r="AC90" s="54"/>
      <c r="AD90" s="54">
        <f t="shared" si="170"/>
        <v>4996.5165399561256</v>
      </c>
      <c r="AE90" s="54"/>
      <c r="AF90" s="86">
        <v>3048.9803447482077</v>
      </c>
      <c r="AG90" s="54"/>
      <c r="AH90" s="54"/>
      <c r="AI90" s="54"/>
      <c r="AJ90" s="54"/>
      <c r="AK90" s="54"/>
      <c r="AL90" s="54"/>
      <c r="AM90" s="115"/>
      <c r="AN90" s="54"/>
      <c r="AO90" s="54"/>
      <c r="AP90" s="54"/>
      <c r="AQ90" s="54"/>
      <c r="AR90" s="54"/>
      <c r="AS90" s="54"/>
      <c r="AT90" s="54"/>
      <c r="AU90" s="54"/>
      <c r="AV90" s="54"/>
      <c r="AW90" s="54"/>
    </row>
    <row r="91" spans="1:49" s="55" customFormat="1" ht="27.5" customHeight="1" outlineLevel="1" x14ac:dyDescent="0.35">
      <c r="A91" s="87" t="s">
        <v>185</v>
      </c>
      <c r="B91" s="42"/>
      <c r="C91" s="54"/>
      <c r="D91" s="54"/>
      <c r="E91" s="54"/>
      <c r="F91" s="54"/>
      <c r="G91" s="54"/>
      <c r="H91" s="42"/>
      <c r="I91" s="54"/>
      <c r="J91" s="54"/>
      <c r="K91" s="54"/>
      <c r="L91" s="54"/>
      <c r="M91" s="54"/>
      <c r="N91" s="74"/>
      <c r="O91" s="74"/>
      <c r="P91" s="74"/>
      <c r="Q91" s="54"/>
      <c r="R91" s="22"/>
      <c r="S91" s="54"/>
      <c r="T91" s="22"/>
      <c r="U91" s="22"/>
      <c r="V91" s="20"/>
      <c r="W91" s="54"/>
      <c r="X91" s="22"/>
      <c r="Y91" s="22"/>
      <c r="Z91" s="22"/>
      <c r="AA91" s="22"/>
      <c r="AB91" s="22"/>
      <c r="AC91" s="54"/>
      <c r="AD91" s="54"/>
      <c r="AE91" s="54"/>
      <c r="AF91" s="86">
        <v>7622.4508618705195</v>
      </c>
      <c r="AG91" s="54"/>
      <c r="AH91" s="54"/>
      <c r="AI91" s="54"/>
      <c r="AJ91" s="54"/>
      <c r="AK91" s="54"/>
      <c r="AL91" s="54"/>
      <c r="AM91" s="115"/>
      <c r="AN91" s="54"/>
      <c r="AO91" s="54"/>
      <c r="AP91" s="54"/>
      <c r="AQ91" s="54"/>
      <c r="AR91" s="54"/>
      <c r="AS91" s="54"/>
      <c r="AT91" s="54"/>
      <c r="AU91" s="54"/>
      <c r="AV91" s="54"/>
      <c r="AW91" s="54"/>
    </row>
    <row r="92" spans="1:49" s="49" customFormat="1" ht="27.5" customHeight="1" x14ac:dyDescent="0.35">
      <c r="A92" s="45" t="s">
        <v>119</v>
      </c>
      <c r="B92" s="51"/>
      <c r="C92" s="48"/>
      <c r="D92" s="48"/>
      <c r="E92" s="48"/>
      <c r="F92" s="48"/>
      <c r="G92" s="48"/>
      <c r="H92" s="48"/>
      <c r="I92" s="48"/>
      <c r="J92" s="48"/>
      <c r="K92" s="48"/>
      <c r="L92" s="48">
        <f>SUM(L93:L96)</f>
        <v>35715000</v>
      </c>
      <c r="M92" s="48">
        <f>SUM(M93:M96)</f>
        <v>54447.16650634112</v>
      </c>
      <c r="N92" s="72"/>
      <c r="O92" s="72">
        <f>SUM(O93:O96)</f>
        <v>54447.16650634112</v>
      </c>
      <c r="P92" s="72"/>
      <c r="Q92" s="48">
        <f t="shared" ref="Q92:AI92" si="172">SUM(Q93:Q96)</f>
        <v>3215000</v>
      </c>
      <c r="R92" s="48">
        <f t="shared" si="172"/>
        <v>4901.235904182744</v>
      </c>
      <c r="S92" s="48">
        <f t="shared" si="172"/>
        <v>10873110</v>
      </c>
      <c r="T92" s="48">
        <f t="shared" si="172"/>
        <v>16575.949338142593</v>
      </c>
      <c r="U92" s="48">
        <f t="shared" si="172"/>
        <v>14088110</v>
      </c>
      <c r="V92" s="48">
        <f t="shared" si="172"/>
        <v>21477.185242325337</v>
      </c>
      <c r="W92" s="48">
        <f t="shared" si="172"/>
        <v>17961920</v>
      </c>
      <c r="X92" s="48">
        <f t="shared" si="172"/>
        <v>27382.770516969864</v>
      </c>
      <c r="Y92" s="48">
        <f t="shared" si="172"/>
        <v>32050030</v>
      </c>
      <c r="Z92" s="48">
        <f t="shared" si="172"/>
        <v>48859.955759295197</v>
      </c>
      <c r="AA92" s="48">
        <f>SUM(AA93:AA96)</f>
        <v>3664970</v>
      </c>
      <c r="AB92" s="48">
        <f t="shared" si="172"/>
        <v>5587.2107470459187</v>
      </c>
      <c r="AC92" s="48">
        <f t="shared" si="172"/>
        <v>0</v>
      </c>
      <c r="AD92" s="48">
        <f>AB92</f>
        <v>5587.2107470459187</v>
      </c>
      <c r="AE92" s="48">
        <f t="shared" si="172"/>
        <v>0</v>
      </c>
      <c r="AF92" s="48">
        <f>SUM(AF93:AF96)</f>
        <v>15244.901723741037</v>
      </c>
      <c r="AG92" s="48">
        <f t="shared" si="172"/>
        <v>0</v>
      </c>
      <c r="AH92" s="48">
        <f>AF92</f>
        <v>15244.901723741037</v>
      </c>
      <c r="AI92" s="48">
        <f t="shared" si="172"/>
        <v>0</v>
      </c>
      <c r="AJ92" s="17">
        <f>AB92-AF92</f>
        <v>-9657.6909766951176</v>
      </c>
      <c r="AK92" s="17">
        <f>AC92-AG92</f>
        <v>0</v>
      </c>
      <c r="AL92" s="17">
        <f>AD92-AH92</f>
        <v>-9657.6909766951176</v>
      </c>
      <c r="AM92" s="113">
        <f>AE92-AI92</f>
        <v>0</v>
      </c>
      <c r="AN92" s="17"/>
      <c r="AO92" s="17"/>
      <c r="AP92" s="17"/>
      <c r="AQ92" s="17"/>
      <c r="AR92" s="48"/>
      <c r="AS92" s="48"/>
      <c r="AT92" s="48"/>
      <c r="AU92" s="48"/>
      <c r="AV92" s="48"/>
      <c r="AW92" s="48"/>
    </row>
    <row r="93" spans="1:49" s="53" customFormat="1" ht="27.5" hidden="1" customHeight="1" outlineLevel="1" x14ac:dyDescent="0.35">
      <c r="A93" s="57" t="s">
        <v>119</v>
      </c>
      <c r="B93" s="135" t="s">
        <v>104</v>
      </c>
      <c r="C93" s="135"/>
      <c r="D93" s="135"/>
      <c r="E93" s="135"/>
      <c r="F93" s="135"/>
      <c r="G93" s="51"/>
      <c r="H93" s="20" t="s">
        <v>89</v>
      </c>
      <c r="I93" s="38">
        <v>1</v>
      </c>
      <c r="J93" s="58">
        <v>4715000</v>
      </c>
      <c r="K93" s="54">
        <f>J93/$B$2</f>
        <v>7187.9711627438992</v>
      </c>
      <c r="L93" s="58">
        <f t="shared" ref="L93" si="173">I93*J93</f>
        <v>4715000</v>
      </c>
      <c r="M93" s="58">
        <f t="shared" ref="M93" si="174">+L93/655.957</f>
        <v>7187.9711627438992</v>
      </c>
      <c r="N93" s="73"/>
      <c r="O93" s="76">
        <f>M93</f>
        <v>7187.9711627438992</v>
      </c>
      <c r="P93" s="73"/>
      <c r="Q93" s="58">
        <v>0</v>
      </c>
      <c r="R93" s="22">
        <f t="shared" si="149"/>
        <v>0</v>
      </c>
      <c r="S93" s="58">
        <v>4715000</v>
      </c>
      <c r="T93" s="22">
        <f t="shared" si="150"/>
        <v>7187.9711627438992</v>
      </c>
      <c r="U93" s="22">
        <f t="shared" si="151"/>
        <v>4715000</v>
      </c>
      <c r="V93" s="20">
        <f t="shared" si="152"/>
        <v>7187.9711627438992</v>
      </c>
      <c r="W93" s="58"/>
      <c r="X93" s="22">
        <f t="shared" si="153"/>
        <v>0</v>
      </c>
      <c r="Y93" s="22">
        <f>+U93+W93</f>
        <v>4715000</v>
      </c>
      <c r="Z93" s="22">
        <f t="shared" si="154"/>
        <v>7187.9711627438992</v>
      </c>
      <c r="AA93" s="22">
        <f>+L93-Y93</f>
        <v>0</v>
      </c>
      <c r="AB93" s="22">
        <f t="shared" ref="AB93:AB95" si="175">+AA93/655.957</f>
        <v>0</v>
      </c>
      <c r="AC93" s="51"/>
      <c r="AD93" s="51"/>
      <c r="AE93" s="51"/>
      <c r="AF93" s="51"/>
      <c r="AG93" s="51"/>
      <c r="AH93" s="51"/>
      <c r="AI93" s="51"/>
      <c r="AJ93" s="51"/>
      <c r="AK93" s="51"/>
      <c r="AL93" s="51"/>
      <c r="AM93" s="114"/>
      <c r="AN93" s="51"/>
      <c r="AO93" s="51"/>
      <c r="AP93" s="51"/>
      <c r="AQ93" s="51"/>
      <c r="AR93" s="51"/>
      <c r="AS93" s="51"/>
      <c r="AT93" s="51"/>
      <c r="AU93" s="51"/>
      <c r="AV93" s="51"/>
      <c r="AW93" s="51"/>
    </row>
    <row r="94" spans="1:49" s="6" customFormat="1" ht="27.5" hidden="1" customHeight="1" outlineLevel="1" x14ac:dyDescent="0.35">
      <c r="A94" s="57" t="s">
        <v>120</v>
      </c>
      <c r="B94" s="20"/>
      <c r="C94" s="38"/>
      <c r="D94" s="58"/>
      <c r="E94" s="58"/>
      <c r="F94" s="58"/>
      <c r="G94" s="58"/>
      <c r="H94" s="20" t="s">
        <v>89</v>
      </c>
      <c r="I94" s="38">
        <v>1</v>
      </c>
      <c r="J94" s="58">
        <v>15000000</v>
      </c>
      <c r="K94" s="54">
        <f>J94/$B$2</f>
        <v>22867.352585611556</v>
      </c>
      <c r="L94" s="58">
        <f t="shared" si="147"/>
        <v>15000000</v>
      </c>
      <c r="M94" s="58">
        <f t="shared" si="148"/>
        <v>22867.352585611556</v>
      </c>
      <c r="N94" s="76"/>
      <c r="O94" s="76">
        <f>M94</f>
        <v>22867.352585611556</v>
      </c>
      <c r="P94" s="76"/>
      <c r="Q94" s="58">
        <v>0</v>
      </c>
      <c r="R94" s="22">
        <f t="shared" si="149"/>
        <v>0</v>
      </c>
      <c r="S94" s="58">
        <v>3358110</v>
      </c>
      <c r="T94" s="22">
        <f t="shared" si="150"/>
        <v>5119.405692751202</v>
      </c>
      <c r="U94" s="22">
        <f t="shared" si="151"/>
        <v>3358110</v>
      </c>
      <c r="V94" s="20">
        <f t="shared" si="152"/>
        <v>5119.405692751202</v>
      </c>
      <c r="W94" s="58">
        <v>14081920</v>
      </c>
      <c r="X94" s="22">
        <f t="shared" si="153"/>
        <v>21467.74864815834</v>
      </c>
      <c r="Y94" s="22">
        <f>+U94+W94</f>
        <v>17440030</v>
      </c>
      <c r="Z94" s="22">
        <f t="shared" si="154"/>
        <v>26587.154340909543</v>
      </c>
      <c r="AA94" s="22">
        <f>+L94-Y94</f>
        <v>-2440030</v>
      </c>
      <c r="AB94" s="22">
        <f t="shared" si="175"/>
        <v>-3719.8017552979845</v>
      </c>
      <c r="AC94" s="38"/>
      <c r="AD94" s="38"/>
      <c r="AE94" s="38"/>
      <c r="AF94" s="38">
        <v>9146.9410342446226</v>
      </c>
      <c r="AG94" s="38"/>
      <c r="AH94" s="38"/>
      <c r="AI94" s="38"/>
      <c r="AJ94" s="38"/>
      <c r="AK94" s="38"/>
      <c r="AL94" s="38"/>
      <c r="AM94" s="117"/>
      <c r="AN94" s="38"/>
      <c r="AO94" s="38"/>
      <c r="AP94" s="38"/>
      <c r="AQ94" s="38"/>
      <c r="AR94" s="38"/>
      <c r="AS94" s="38"/>
      <c r="AT94" s="38"/>
      <c r="AU94" s="38"/>
      <c r="AV94" s="38"/>
      <c r="AW94" s="38"/>
    </row>
    <row r="95" spans="1:49" s="55" customFormat="1" ht="27.5" hidden="1" customHeight="1" outlineLevel="1" x14ac:dyDescent="0.35">
      <c r="A95" s="50" t="s">
        <v>121</v>
      </c>
      <c r="B95" s="42"/>
      <c r="C95" s="54"/>
      <c r="D95" s="54"/>
      <c r="E95" s="54"/>
      <c r="F95" s="54"/>
      <c r="G95" s="54"/>
      <c r="H95" s="42" t="s">
        <v>89</v>
      </c>
      <c r="I95" s="54">
        <v>4</v>
      </c>
      <c r="J95" s="54">
        <v>4000000</v>
      </c>
      <c r="K95" s="54">
        <f>J95/$B$2</f>
        <v>6097.9606894964154</v>
      </c>
      <c r="L95" s="54">
        <f t="shared" si="147"/>
        <v>16000000</v>
      </c>
      <c r="M95" s="54">
        <f t="shared" si="148"/>
        <v>24391.842757985662</v>
      </c>
      <c r="N95" s="74"/>
      <c r="O95" s="74">
        <f>M95</f>
        <v>24391.842757985662</v>
      </c>
      <c r="P95" s="74"/>
      <c r="Q95" s="54">
        <v>3215000</v>
      </c>
      <c r="R95" s="22">
        <f t="shared" si="149"/>
        <v>4901.235904182744</v>
      </c>
      <c r="S95" s="54">
        <v>2800000</v>
      </c>
      <c r="T95" s="22">
        <f t="shared" si="150"/>
        <v>4268.5724826474907</v>
      </c>
      <c r="U95" s="22">
        <f>Q95+S95</f>
        <v>6015000</v>
      </c>
      <c r="V95" s="20">
        <f t="shared" si="152"/>
        <v>9169.8083868302347</v>
      </c>
      <c r="W95" s="54">
        <v>3880000</v>
      </c>
      <c r="X95" s="22">
        <f t="shared" si="153"/>
        <v>5915.0218688115228</v>
      </c>
      <c r="Y95" s="22">
        <f>+U95+W95</f>
        <v>9895000</v>
      </c>
      <c r="Z95" s="22">
        <f t="shared" si="154"/>
        <v>15084.830255641757</v>
      </c>
      <c r="AA95" s="22">
        <f>+L95-Y95</f>
        <v>6105000</v>
      </c>
      <c r="AB95" s="22">
        <f t="shared" si="175"/>
        <v>9307.0125023439032</v>
      </c>
      <c r="AC95" s="54"/>
      <c r="AD95" s="54"/>
      <c r="AE95" s="54"/>
      <c r="AF95" s="54">
        <v>6097.9606894964154</v>
      </c>
      <c r="AG95" s="54"/>
      <c r="AH95" s="54"/>
      <c r="AI95" s="54"/>
      <c r="AJ95" s="54"/>
      <c r="AK95" s="54"/>
      <c r="AL95" s="54"/>
      <c r="AM95" s="115"/>
      <c r="AN95" s="54"/>
      <c r="AO95" s="54"/>
      <c r="AP95" s="54"/>
      <c r="AQ95" s="54"/>
      <c r="AR95" s="54"/>
      <c r="AS95" s="54"/>
      <c r="AT95" s="54"/>
      <c r="AU95" s="54"/>
      <c r="AV95" s="54"/>
      <c r="AW95" s="54"/>
    </row>
    <row r="96" spans="1:49" s="49" customFormat="1" ht="27.5" hidden="1" customHeight="1" outlineLevel="1" collapsed="1" x14ac:dyDescent="0.35">
      <c r="A96" s="45" t="s">
        <v>122</v>
      </c>
      <c r="B96" s="47" t="s">
        <v>89</v>
      </c>
      <c r="C96" s="48">
        <v>1</v>
      </c>
      <c r="D96" s="48">
        <v>22867</v>
      </c>
      <c r="E96" s="48">
        <f t="shared" si="145"/>
        <v>22867</v>
      </c>
      <c r="F96" s="48">
        <f t="shared" si="0"/>
        <v>14999768.719000001</v>
      </c>
      <c r="G96" s="48"/>
      <c r="H96" s="47" t="s">
        <v>89</v>
      </c>
      <c r="I96" s="48">
        <v>0</v>
      </c>
      <c r="J96" s="48">
        <v>0</v>
      </c>
      <c r="K96" s="48"/>
      <c r="L96" s="48">
        <f t="shared" si="147"/>
        <v>0</v>
      </c>
      <c r="M96" s="48">
        <f t="shared" si="148"/>
        <v>0</v>
      </c>
      <c r="N96" s="72"/>
      <c r="O96" s="72">
        <f>M96</f>
        <v>0</v>
      </c>
      <c r="P96" s="72"/>
      <c r="Q96" s="48"/>
      <c r="R96" s="48"/>
      <c r="S96" s="48"/>
      <c r="T96" s="48"/>
      <c r="U96" s="48"/>
      <c r="V96" s="47"/>
      <c r="W96" s="48"/>
      <c r="X96" s="48"/>
      <c r="Y96" s="48"/>
      <c r="Z96" s="48"/>
      <c r="AA96" s="48"/>
      <c r="AB96" s="48"/>
      <c r="AC96" s="48"/>
      <c r="AD96" s="48"/>
      <c r="AE96" s="48"/>
      <c r="AF96" s="48"/>
      <c r="AG96" s="48"/>
      <c r="AH96" s="48"/>
      <c r="AI96" s="48"/>
      <c r="AJ96" s="48"/>
      <c r="AK96" s="48"/>
      <c r="AL96" s="48"/>
      <c r="AM96" s="118"/>
      <c r="AN96" s="48"/>
      <c r="AO96" s="48"/>
      <c r="AP96" s="48"/>
      <c r="AQ96" s="48"/>
      <c r="AR96" s="48"/>
      <c r="AS96" s="48"/>
      <c r="AT96" s="48"/>
      <c r="AU96" s="48"/>
      <c r="AV96" s="48"/>
      <c r="AW96" s="48"/>
    </row>
    <row r="97" spans="1:49" ht="27.5" customHeight="1" collapsed="1" x14ac:dyDescent="0.35">
      <c r="A97" s="44" t="s">
        <v>123</v>
      </c>
      <c r="B97" s="25"/>
      <c r="C97" s="26"/>
      <c r="D97" s="26"/>
      <c r="E97" s="27">
        <f>E74+E78+E81+E82+E83+E92+E96</f>
        <v>138731.78379223027</v>
      </c>
      <c r="F97" s="27">
        <f>F74+F78+F81+F82+F83+F92+F96</f>
        <v>91002084.70099999</v>
      </c>
      <c r="G97" s="28">
        <f>F97/$F$159</f>
        <v>0.12714492122345383</v>
      </c>
      <c r="H97" s="25"/>
      <c r="I97" s="26"/>
      <c r="J97" s="26"/>
      <c r="K97" s="26"/>
      <c r="L97" s="27">
        <f t="shared" ref="L97:AM97" si="176">L74+L78+L81+L82+L83+L92+L96</f>
        <v>335525590</v>
      </c>
      <c r="M97" s="27">
        <f t="shared" si="176"/>
        <v>511505.46453502285</v>
      </c>
      <c r="N97" s="68">
        <f t="shared" si="176"/>
        <v>0</v>
      </c>
      <c r="O97" s="68">
        <f t="shared" si="176"/>
        <v>445647.48908846156</v>
      </c>
      <c r="P97" s="68">
        <f t="shared" si="176"/>
        <v>65857.975446561279</v>
      </c>
      <c r="Q97" s="27">
        <f t="shared" si="176"/>
        <v>6732897</v>
      </c>
      <c r="R97" s="27">
        <f t="shared" si="176"/>
        <v>10264.235308107087</v>
      </c>
      <c r="S97" s="27">
        <f t="shared" si="176"/>
        <v>43425767</v>
      </c>
      <c r="T97" s="27">
        <f t="shared" si="176"/>
        <v>66202.155019307669</v>
      </c>
      <c r="U97" s="27">
        <f t="shared" si="176"/>
        <v>50158664</v>
      </c>
      <c r="V97" s="27">
        <f t="shared" si="176"/>
        <v>76466.39032741476</v>
      </c>
      <c r="W97" s="27">
        <f t="shared" si="176"/>
        <v>177062075</v>
      </c>
      <c r="X97" s="27">
        <f t="shared" si="176"/>
        <v>269929.39323766652</v>
      </c>
      <c r="Y97" s="27">
        <f t="shared" si="176"/>
        <v>227220739</v>
      </c>
      <c r="Z97" s="27">
        <f t="shared" si="176"/>
        <v>346395.78356508125</v>
      </c>
      <c r="AA97" s="27">
        <f t="shared" si="176"/>
        <v>108304851</v>
      </c>
      <c r="AB97" s="27">
        <f t="shared" si="176"/>
        <v>165109.68096994166</v>
      </c>
      <c r="AC97" s="27">
        <f t="shared" si="176"/>
        <v>0</v>
      </c>
      <c r="AD97" s="27">
        <f t="shared" si="176"/>
        <v>157722.88122544621</v>
      </c>
      <c r="AE97" s="27">
        <f t="shared" si="176"/>
        <v>7386.7997444954472</v>
      </c>
      <c r="AF97" s="27">
        <f t="shared" si="176"/>
        <v>169279.38874042046</v>
      </c>
      <c r="AG97" s="27">
        <f t="shared" si="176"/>
        <v>0</v>
      </c>
      <c r="AH97" s="27">
        <f t="shared" si="176"/>
        <v>169279.38874042046</v>
      </c>
      <c r="AI97" s="27">
        <f t="shared" si="176"/>
        <v>0</v>
      </c>
      <c r="AJ97" s="33">
        <f t="shared" si="176"/>
        <v>-4169.7077704788271</v>
      </c>
      <c r="AK97" s="27">
        <f t="shared" si="176"/>
        <v>0</v>
      </c>
      <c r="AL97" s="27">
        <f t="shared" si="176"/>
        <v>-11556.507514974273</v>
      </c>
      <c r="AM97" s="110">
        <f t="shared" si="176"/>
        <v>7386.7997444954472</v>
      </c>
      <c r="AN97" s="27"/>
      <c r="AO97" s="27"/>
      <c r="AP97" s="27"/>
      <c r="AQ97" s="27"/>
      <c r="AR97" s="110">
        <f t="shared" ref="AR97:AW97" si="177">AR74+AR78+AR81+AR82+AR83+AR92+AR96</f>
        <v>0</v>
      </c>
      <c r="AS97" s="110">
        <f t="shared" si="177"/>
        <v>0</v>
      </c>
      <c r="AT97" s="110">
        <f t="shared" si="177"/>
        <v>0</v>
      </c>
      <c r="AU97" s="110">
        <f t="shared" si="177"/>
        <v>0</v>
      </c>
      <c r="AV97" s="110">
        <f t="shared" si="177"/>
        <v>0</v>
      </c>
      <c r="AW97" s="110">
        <f t="shared" si="177"/>
        <v>0</v>
      </c>
    </row>
    <row r="98" spans="1:49" ht="27.5" customHeight="1" x14ac:dyDescent="0.35">
      <c r="A98" s="45" t="s">
        <v>124</v>
      </c>
      <c r="B98" s="20"/>
      <c r="C98" s="21"/>
      <c r="D98" s="22"/>
      <c r="E98" s="22"/>
      <c r="F98" s="22"/>
      <c r="G98" s="22"/>
      <c r="H98" s="20"/>
      <c r="I98" s="21"/>
      <c r="J98" s="22"/>
      <c r="K98" s="22"/>
      <c r="L98" s="22">
        <f t="shared" ref="L98" si="178">I98*J98</f>
        <v>0</v>
      </c>
      <c r="M98" s="22"/>
      <c r="N98" s="67"/>
      <c r="O98" s="67"/>
      <c r="P98" s="67"/>
      <c r="Q98" s="22"/>
      <c r="R98" s="22"/>
      <c r="S98" s="22"/>
      <c r="T98" s="22"/>
      <c r="U98" s="22"/>
      <c r="V98" s="20"/>
      <c r="W98" s="22"/>
      <c r="X98" s="22"/>
      <c r="Y98" s="39">
        <f>Y97+AA97</f>
        <v>335525590</v>
      </c>
      <c r="Z98" s="23"/>
      <c r="AA98" s="23"/>
      <c r="AB98" s="23"/>
      <c r="AC98" s="21"/>
      <c r="AD98" s="21"/>
      <c r="AE98" s="21"/>
      <c r="AF98" s="97">
        <f>AF97*655.957</f>
        <v>111039999.99999999</v>
      </c>
      <c r="AG98" s="97">
        <f>AG97*655.957</f>
        <v>0</v>
      </c>
      <c r="AH98" s="97">
        <f>AH97*655.957</f>
        <v>111039999.99999999</v>
      </c>
      <c r="AI98" s="97">
        <f>AI97*655.957</f>
        <v>0</v>
      </c>
      <c r="AJ98" s="21"/>
      <c r="AK98" s="21"/>
      <c r="AL98" s="21"/>
      <c r="AM98" s="108"/>
      <c r="AN98" s="21"/>
      <c r="AO98" s="21"/>
      <c r="AP98" s="21"/>
      <c r="AQ98" s="21"/>
      <c r="AR98" s="21"/>
      <c r="AS98" s="21"/>
      <c r="AT98" s="21"/>
      <c r="AU98" s="21"/>
      <c r="AV98" s="21"/>
      <c r="AW98" s="21"/>
    </row>
    <row r="99" spans="1:49" s="49" customFormat="1" ht="27.5" customHeight="1" x14ac:dyDescent="0.35">
      <c r="A99" s="45" t="s">
        <v>125</v>
      </c>
      <c r="B99" s="47" t="s">
        <v>89</v>
      </c>
      <c r="C99" s="48">
        <v>1</v>
      </c>
      <c r="D99" s="48">
        <v>7405</v>
      </c>
      <c r="E99" s="48">
        <f>C99*D99</f>
        <v>7405</v>
      </c>
      <c r="F99" s="48">
        <f t="shared" si="0"/>
        <v>4857361.585</v>
      </c>
      <c r="G99" s="48"/>
      <c r="H99" s="47" t="s">
        <v>89</v>
      </c>
      <c r="I99" s="48">
        <v>1</v>
      </c>
      <c r="J99" s="48">
        <v>3750000</v>
      </c>
      <c r="K99" s="48">
        <f t="shared" ref="K99:K107" si="179">J99/$B$2</f>
        <v>5716.8381464028889</v>
      </c>
      <c r="L99" s="48">
        <f>I99*J99</f>
        <v>3750000</v>
      </c>
      <c r="M99" s="48">
        <f>+L99/655.957</f>
        <v>5716.8381464028889</v>
      </c>
      <c r="N99" s="72"/>
      <c r="O99" s="72"/>
      <c r="P99" s="72">
        <f>M99</f>
        <v>5716.8381464028889</v>
      </c>
      <c r="Q99" s="48">
        <v>3744203</v>
      </c>
      <c r="R99" s="18">
        <f t="shared" ref="R99:R113" si="180">+Q99/655.957</f>
        <v>5708.0006768736366</v>
      </c>
      <c r="S99" s="48">
        <v>0</v>
      </c>
      <c r="T99" s="18">
        <f t="shared" ref="T99:T113" si="181">+S99/655.957</f>
        <v>0</v>
      </c>
      <c r="U99" s="18">
        <f t="shared" ref="U99:U113" si="182">Q99+S99</f>
        <v>3744203</v>
      </c>
      <c r="V99" s="16">
        <f t="shared" ref="V99:V113" si="183">+U99/655.957</f>
        <v>5708.0006768736366</v>
      </c>
      <c r="W99" s="48">
        <v>0</v>
      </c>
      <c r="X99" s="18">
        <f t="shared" ref="X99:X113" si="184">+W99/655.957</f>
        <v>0</v>
      </c>
      <c r="Y99" s="18">
        <f>+U99+W99</f>
        <v>3744203</v>
      </c>
      <c r="Z99" s="18">
        <f t="shared" ref="Z99:Z113" si="185">+Y99/655.957</f>
        <v>5708.0006768736366</v>
      </c>
      <c r="AA99" s="18">
        <f>+L99-Y99</f>
        <v>5797</v>
      </c>
      <c r="AB99" s="18">
        <f t="shared" ref="AB99:AB109" si="186">+AA99/655.957</f>
        <v>8.8374695292526795</v>
      </c>
      <c r="AC99" s="18"/>
      <c r="AD99" s="18"/>
      <c r="AE99" s="18">
        <f>AB99</f>
        <v>8.8374695292526795</v>
      </c>
      <c r="AF99" s="18"/>
      <c r="AG99" s="18"/>
      <c r="AH99" s="18"/>
      <c r="AI99" s="18"/>
      <c r="AJ99" s="17">
        <f t="shared" ref="AJ99:AM101" si="187">AB99-AF99</f>
        <v>8.8374695292526795</v>
      </c>
      <c r="AK99" s="21">
        <f t="shared" si="187"/>
        <v>0</v>
      </c>
      <c r="AL99" s="21">
        <f t="shared" si="187"/>
        <v>0</v>
      </c>
      <c r="AM99" s="113">
        <f t="shared" si="187"/>
        <v>8.8374695292526795</v>
      </c>
      <c r="AN99" s="17"/>
      <c r="AO99" s="17"/>
      <c r="AP99" s="17"/>
      <c r="AQ99" s="17"/>
      <c r="AR99" s="48"/>
      <c r="AS99" s="48"/>
      <c r="AT99" s="48"/>
      <c r="AU99" s="48"/>
      <c r="AV99" s="48"/>
      <c r="AW99" s="48"/>
    </row>
    <row r="100" spans="1:49" s="49" customFormat="1" ht="27.5" customHeight="1" x14ac:dyDescent="0.35">
      <c r="A100" s="45" t="s">
        <v>126</v>
      </c>
      <c r="B100" s="47" t="s">
        <v>89</v>
      </c>
      <c r="C100" s="48">
        <v>6</v>
      </c>
      <c r="D100" s="48">
        <v>3812</v>
      </c>
      <c r="E100" s="48">
        <f>C100*D100</f>
        <v>22872</v>
      </c>
      <c r="F100" s="48">
        <f t="shared" si="0"/>
        <v>15003048.504000001</v>
      </c>
      <c r="G100" s="48"/>
      <c r="H100" s="47" t="s">
        <v>89</v>
      </c>
      <c r="I100" s="48">
        <v>1</v>
      </c>
      <c r="J100" s="48">
        <v>13950000</v>
      </c>
      <c r="K100" s="48">
        <f t="shared" si="179"/>
        <v>21266.637904618747</v>
      </c>
      <c r="L100" s="48">
        <f>I100*J100</f>
        <v>13950000</v>
      </c>
      <c r="M100" s="48">
        <f>+L100/655.957</f>
        <v>21266.637904618747</v>
      </c>
      <c r="N100" s="72"/>
      <c r="O100" s="72"/>
      <c r="P100" s="72">
        <f>M100</f>
        <v>21266.637904618747</v>
      </c>
      <c r="Q100" s="48"/>
      <c r="R100" s="18">
        <f t="shared" si="180"/>
        <v>0</v>
      </c>
      <c r="S100" s="48">
        <v>13930012</v>
      </c>
      <c r="T100" s="18">
        <f t="shared" si="181"/>
        <v>21236.166395053333</v>
      </c>
      <c r="U100" s="18">
        <f t="shared" si="182"/>
        <v>13930012</v>
      </c>
      <c r="V100" s="16">
        <f t="shared" si="183"/>
        <v>21236.166395053333</v>
      </c>
      <c r="W100" s="48"/>
      <c r="X100" s="18">
        <f t="shared" si="184"/>
        <v>0</v>
      </c>
      <c r="Y100" s="18">
        <f>+U100+W100</f>
        <v>13930012</v>
      </c>
      <c r="Z100" s="18">
        <f t="shared" si="185"/>
        <v>21236.166395053333</v>
      </c>
      <c r="AA100" s="18">
        <f>+L100-Y100</f>
        <v>19988</v>
      </c>
      <c r="AB100" s="18">
        <f t="shared" si="186"/>
        <v>30.471509565413587</v>
      </c>
      <c r="AC100" s="48"/>
      <c r="AD100" s="48"/>
      <c r="AE100" s="48">
        <f>AB100</f>
        <v>30.471509565413587</v>
      </c>
      <c r="AF100" s="48"/>
      <c r="AG100" s="48"/>
      <c r="AH100" s="48"/>
      <c r="AI100" s="48"/>
      <c r="AJ100" s="17">
        <f t="shared" si="187"/>
        <v>30.471509565413587</v>
      </c>
      <c r="AK100" s="21">
        <f t="shared" si="187"/>
        <v>0</v>
      </c>
      <c r="AL100" s="21">
        <f t="shared" si="187"/>
        <v>0</v>
      </c>
      <c r="AM100" s="113">
        <f t="shared" si="187"/>
        <v>30.471509565413587</v>
      </c>
      <c r="AN100" s="17"/>
      <c r="AO100" s="17"/>
      <c r="AP100" s="17"/>
      <c r="AQ100" s="17"/>
      <c r="AR100" s="48"/>
      <c r="AS100" s="48"/>
      <c r="AT100" s="48"/>
      <c r="AU100" s="48"/>
      <c r="AV100" s="48"/>
      <c r="AW100" s="48"/>
    </row>
    <row r="101" spans="1:49" s="49" customFormat="1" ht="39.5" customHeight="1" x14ac:dyDescent="0.35">
      <c r="A101" s="45" t="s">
        <v>127</v>
      </c>
      <c r="B101" s="47" t="s">
        <v>89</v>
      </c>
      <c r="C101" s="48">
        <v>1</v>
      </c>
      <c r="D101" s="48">
        <v>83224</v>
      </c>
      <c r="E101" s="48">
        <f>C101*D101</f>
        <v>83224</v>
      </c>
      <c r="F101" s="48">
        <f t="shared" si="0"/>
        <v>54591365.368000001</v>
      </c>
      <c r="G101" s="48"/>
      <c r="H101" s="47" t="s">
        <v>89</v>
      </c>
      <c r="I101" s="48"/>
      <c r="J101" s="48"/>
      <c r="K101" s="48">
        <f t="shared" si="179"/>
        <v>0</v>
      </c>
      <c r="L101" s="48">
        <f t="shared" ref="L101:V101" si="188">SUM(L102:L104)</f>
        <v>19500000</v>
      </c>
      <c r="M101" s="48">
        <f t="shared" si="188"/>
        <v>29727.558361295025</v>
      </c>
      <c r="N101" s="72">
        <f>SUM(N102:N104)</f>
        <v>0</v>
      </c>
      <c r="O101" s="72">
        <f>SUM(O102:O104)</f>
        <v>29727.558361295025</v>
      </c>
      <c r="P101" s="72">
        <f>SUM(P102:P104)</f>
        <v>0</v>
      </c>
      <c r="Q101" s="48">
        <f t="shared" si="188"/>
        <v>0</v>
      </c>
      <c r="R101" s="48">
        <f t="shared" si="188"/>
        <v>0</v>
      </c>
      <c r="S101" s="48">
        <f t="shared" si="188"/>
        <v>13753500</v>
      </c>
      <c r="T101" s="48">
        <f t="shared" si="188"/>
        <v>20967.075585747236</v>
      </c>
      <c r="U101" s="48">
        <f t="shared" si="188"/>
        <v>13753500</v>
      </c>
      <c r="V101" s="48">
        <f t="shared" si="188"/>
        <v>20967.075585747236</v>
      </c>
      <c r="W101" s="48">
        <f t="shared" ref="W101:Z101" si="189">SUM(W102:W104)</f>
        <v>0</v>
      </c>
      <c r="X101" s="48">
        <f t="shared" si="189"/>
        <v>0</v>
      </c>
      <c r="Y101" s="48">
        <f t="shared" si="189"/>
        <v>13753500</v>
      </c>
      <c r="Z101" s="48">
        <f t="shared" si="189"/>
        <v>20967.075585747236</v>
      </c>
      <c r="AA101" s="48">
        <f>SUM(AA102:AA104)</f>
        <v>5746500</v>
      </c>
      <c r="AB101" s="48">
        <f>SUM(AB102:AB104)</f>
        <v>8760.4827755477872</v>
      </c>
      <c r="AC101" s="48"/>
      <c r="AD101" s="48">
        <f>SUM(AD102:AD104)</f>
        <v>8760.4827755477872</v>
      </c>
      <c r="AE101" s="48"/>
      <c r="AF101" s="48"/>
      <c r="AG101" s="48"/>
      <c r="AH101" s="48"/>
      <c r="AI101" s="48"/>
      <c r="AJ101" s="17">
        <f t="shared" si="187"/>
        <v>8760.4827755477872</v>
      </c>
      <c r="AK101" s="21">
        <f t="shared" si="187"/>
        <v>0</v>
      </c>
      <c r="AL101" s="17">
        <f t="shared" si="187"/>
        <v>8760.4827755477872</v>
      </c>
      <c r="AM101" s="108">
        <f t="shared" si="187"/>
        <v>0</v>
      </c>
      <c r="AN101" s="21"/>
      <c r="AO101" s="21"/>
      <c r="AP101" s="21"/>
      <c r="AQ101" s="21"/>
      <c r="AR101" s="48"/>
      <c r="AS101" s="48"/>
      <c r="AT101" s="48"/>
      <c r="AU101" s="48"/>
      <c r="AV101" s="48"/>
      <c r="AW101" s="48"/>
    </row>
    <row r="102" spans="1:49" s="55" customFormat="1" ht="27.5" hidden="1" customHeight="1" outlineLevel="1" x14ac:dyDescent="0.35">
      <c r="A102" s="50" t="s">
        <v>128</v>
      </c>
      <c r="B102" s="42"/>
      <c r="C102" s="54"/>
      <c r="D102" s="54"/>
      <c r="E102" s="54"/>
      <c r="F102" s="54"/>
      <c r="G102" s="54"/>
      <c r="H102" s="42" t="s">
        <v>89</v>
      </c>
      <c r="I102" s="54"/>
      <c r="J102" s="54"/>
      <c r="K102" s="54">
        <f t="shared" si="179"/>
        <v>0</v>
      </c>
      <c r="L102" s="54">
        <f t="shared" ref="L102:L116" si="190">I102*J102</f>
        <v>0</v>
      </c>
      <c r="M102" s="54">
        <f t="shared" ref="M102:M116" si="191">+L102/655.957</f>
        <v>0</v>
      </c>
      <c r="N102" s="74"/>
      <c r="O102" s="74">
        <f>M102</f>
        <v>0</v>
      </c>
      <c r="P102" s="74"/>
      <c r="Q102" s="54"/>
      <c r="R102" s="22">
        <f t="shared" si="180"/>
        <v>0</v>
      </c>
      <c r="S102" s="54"/>
      <c r="T102" s="22">
        <f t="shared" si="181"/>
        <v>0</v>
      </c>
      <c r="U102" s="22">
        <f t="shared" si="182"/>
        <v>0</v>
      </c>
      <c r="V102" s="20">
        <f t="shared" si="183"/>
        <v>0</v>
      </c>
      <c r="W102" s="54"/>
      <c r="X102" s="22">
        <f t="shared" si="184"/>
        <v>0</v>
      </c>
      <c r="Y102" s="22">
        <f>+U102+W102</f>
        <v>0</v>
      </c>
      <c r="Z102" s="22">
        <f t="shared" si="185"/>
        <v>0</v>
      </c>
      <c r="AA102" s="22">
        <f>+L102-Y102</f>
        <v>0</v>
      </c>
      <c r="AB102" s="22">
        <f t="shared" si="186"/>
        <v>0</v>
      </c>
      <c r="AC102" s="54"/>
      <c r="AD102" s="54">
        <f>AB102</f>
        <v>0</v>
      </c>
      <c r="AE102" s="54"/>
      <c r="AF102" s="54"/>
      <c r="AG102" s="54"/>
      <c r="AH102" s="54"/>
      <c r="AI102" s="54"/>
      <c r="AJ102" s="54"/>
      <c r="AK102" s="54"/>
      <c r="AL102" s="54"/>
      <c r="AM102" s="115"/>
      <c r="AN102" s="54"/>
      <c r="AO102" s="54"/>
      <c r="AP102" s="54"/>
      <c r="AQ102" s="54"/>
      <c r="AR102" s="54"/>
      <c r="AS102" s="54"/>
      <c r="AT102" s="54"/>
      <c r="AU102" s="54"/>
      <c r="AV102" s="54"/>
      <c r="AW102" s="54"/>
    </row>
    <row r="103" spans="1:49" s="55" customFormat="1" ht="27.5" hidden="1" customHeight="1" outlineLevel="1" x14ac:dyDescent="0.35">
      <c r="A103" s="50" t="s">
        <v>129</v>
      </c>
      <c r="B103" s="42"/>
      <c r="C103" s="54"/>
      <c r="D103" s="54"/>
      <c r="E103" s="54"/>
      <c r="F103" s="54"/>
      <c r="G103" s="54"/>
      <c r="H103" s="42" t="s">
        <v>89</v>
      </c>
      <c r="I103" s="54">
        <v>1</v>
      </c>
      <c r="J103" s="54">
        <v>12500000</v>
      </c>
      <c r="K103" s="54">
        <f t="shared" si="179"/>
        <v>19056.127154676298</v>
      </c>
      <c r="L103" s="54">
        <f t="shared" si="190"/>
        <v>12500000</v>
      </c>
      <c r="M103" s="54">
        <f t="shared" si="191"/>
        <v>19056.127154676298</v>
      </c>
      <c r="N103" s="74"/>
      <c r="O103" s="74">
        <f>M103</f>
        <v>19056.127154676298</v>
      </c>
      <c r="P103" s="74"/>
      <c r="Q103" s="54"/>
      <c r="R103" s="22">
        <f t="shared" si="180"/>
        <v>0</v>
      </c>
      <c r="S103" s="54">
        <v>12000000</v>
      </c>
      <c r="T103" s="22">
        <f t="shared" si="181"/>
        <v>18293.882068489245</v>
      </c>
      <c r="U103" s="22">
        <f t="shared" si="182"/>
        <v>12000000</v>
      </c>
      <c r="V103" s="20">
        <f t="shared" si="183"/>
        <v>18293.882068489245</v>
      </c>
      <c r="W103" s="54"/>
      <c r="X103" s="22">
        <f t="shared" si="184"/>
        <v>0</v>
      </c>
      <c r="Y103" s="22">
        <f>+U103+W103</f>
        <v>12000000</v>
      </c>
      <c r="Z103" s="22">
        <f t="shared" si="185"/>
        <v>18293.882068489245</v>
      </c>
      <c r="AA103" s="22">
        <f>+L103-Y103</f>
        <v>500000</v>
      </c>
      <c r="AB103" s="22">
        <f t="shared" si="186"/>
        <v>762.24508618705192</v>
      </c>
      <c r="AC103" s="54"/>
      <c r="AD103" s="54">
        <f t="shared" ref="AD103:AD104" si="192">AB103</f>
        <v>762.24508618705192</v>
      </c>
      <c r="AE103" s="54"/>
      <c r="AF103" s="54"/>
      <c r="AG103" s="54"/>
      <c r="AH103" s="54"/>
      <c r="AI103" s="54"/>
      <c r="AJ103" s="54"/>
      <c r="AK103" s="54"/>
      <c r="AL103" s="54"/>
      <c r="AM103" s="115"/>
      <c r="AN103" s="54"/>
      <c r="AO103" s="54"/>
      <c r="AP103" s="54"/>
      <c r="AQ103" s="54"/>
      <c r="AR103" s="54"/>
      <c r="AS103" s="54"/>
      <c r="AT103" s="54"/>
      <c r="AU103" s="54"/>
      <c r="AV103" s="54"/>
      <c r="AW103" s="54"/>
    </row>
    <row r="104" spans="1:49" s="55" customFormat="1" ht="27.5" hidden="1" customHeight="1" outlineLevel="1" x14ac:dyDescent="0.35">
      <c r="A104" s="50" t="s">
        <v>130</v>
      </c>
      <c r="B104" s="42"/>
      <c r="C104" s="54"/>
      <c r="D104" s="54"/>
      <c r="E104" s="54"/>
      <c r="F104" s="54"/>
      <c r="G104" s="54"/>
      <c r="H104" s="42" t="s">
        <v>89</v>
      </c>
      <c r="I104" s="54">
        <v>1</v>
      </c>
      <c r="J104" s="54">
        <v>7000000</v>
      </c>
      <c r="K104" s="54">
        <f t="shared" si="179"/>
        <v>10671.431206618727</v>
      </c>
      <c r="L104" s="54">
        <f>I104*J104</f>
        <v>7000000</v>
      </c>
      <c r="M104" s="54">
        <f t="shared" si="191"/>
        <v>10671.431206618727</v>
      </c>
      <c r="N104" s="74"/>
      <c r="O104" s="74">
        <f>M104</f>
        <v>10671.431206618727</v>
      </c>
      <c r="P104" s="74"/>
      <c r="Q104" s="54"/>
      <c r="R104" s="22">
        <f t="shared" si="180"/>
        <v>0</v>
      </c>
      <c r="S104" s="54">
        <v>1753500</v>
      </c>
      <c r="T104" s="22">
        <f t="shared" si="181"/>
        <v>2673.1935172579911</v>
      </c>
      <c r="U104" s="22">
        <f t="shared" si="182"/>
        <v>1753500</v>
      </c>
      <c r="V104" s="20">
        <f t="shared" si="183"/>
        <v>2673.1935172579911</v>
      </c>
      <c r="W104" s="54"/>
      <c r="X104" s="22">
        <f t="shared" si="184"/>
        <v>0</v>
      </c>
      <c r="Y104" s="22">
        <f>+U104+W104</f>
        <v>1753500</v>
      </c>
      <c r="Z104" s="22">
        <f t="shared" si="185"/>
        <v>2673.1935172579911</v>
      </c>
      <c r="AA104" s="22">
        <f>+L104-Y104</f>
        <v>5246500</v>
      </c>
      <c r="AB104" s="22">
        <f t="shared" si="186"/>
        <v>7998.2376893607352</v>
      </c>
      <c r="AC104" s="54"/>
      <c r="AD104" s="54">
        <f t="shared" si="192"/>
        <v>7998.2376893607352</v>
      </c>
      <c r="AE104" s="54"/>
      <c r="AF104" s="54"/>
      <c r="AG104" s="54"/>
      <c r="AH104" s="54"/>
      <c r="AI104" s="54"/>
      <c r="AJ104" s="54"/>
      <c r="AK104" s="54"/>
      <c r="AL104" s="54"/>
      <c r="AM104" s="115"/>
      <c r="AN104" s="54"/>
      <c r="AO104" s="54"/>
      <c r="AP104" s="54"/>
      <c r="AQ104" s="54"/>
      <c r="AR104" s="54"/>
      <c r="AS104" s="54"/>
      <c r="AT104" s="54"/>
      <c r="AU104" s="54"/>
      <c r="AV104" s="54"/>
      <c r="AW104" s="54"/>
    </row>
    <row r="105" spans="1:49" s="49" customFormat="1" ht="27.5" customHeight="1" collapsed="1" x14ac:dyDescent="0.35">
      <c r="A105" s="45" t="s">
        <v>131</v>
      </c>
      <c r="B105" s="47"/>
      <c r="C105" s="48"/>
      <c r="D105" s="48"/>
      <c r="E105" s="48"/>
      <c r="F105" s="48"/>
      <c r="G105" s="48"/>
      <c r="H105" s="47" t="s">
        <v>89</v>
      </c>
      <c r="I105" s="48"/>
      <c r="J105" s="48"/>
      <c r="K105" s="48">
        <f t="shared" si="179"/>
        <v>0</v>
      </c>
      <c r="L105" s="48">
        <f t="shared" ref="L105:V105" si="193">SUM(L106:L108)</f>
        <v>0</v>
      </c>
      <c r="M105" s="48">
        <f t="shared" si="193"/>
        <v>0</v>
      </c>
      <c r="N105" s="72">
        <f>SUM(N106:N108)</f>
        <v>0</v>
      </c>
      <c r="O105" s="72">
        <f>SUM(O106:O108)</f>
        <v>0</v>
      </c>
      <c r="P105" s="72">
        <f>SUM(P106:P108)</f>
        <v>0</v>
      </c>
      <c r="Q105" s="48">
        <f t="shared" si="193"/>
        <v>0</v>
      </c>
      <c r="R105" s="48">
        <f t="shared" si="193"/>
        <v>0</v>
      </c>
      <c r="S105" s="48">
        <f t="shared" si="193"/>
        <v>0</v>
      </c>
      <c r="T105" s="48">
        <f t="shared" si="193"/>
        <v>0</v>
      </c>
      <c r="U105" s="48">
        <f t="shared" si="193"/>
        <v>0</v>
      </c>
      <c r="V105" s="48">
        <f t="shared" si="193"/>
        <v>0</v>
      </c>
      <c r="W105" s="48">
        <f t="shared" ref="W105:Z105" si="194">SUM(W106:W108)</f>
        <v>0</v>
      </c>
      <c r="X105" s="48">
        <f t="shared" si="194"/>
        <v>0</v>
      </c>
      <c r="Y105" s="48">
        <f t="shared" si="194"/>
        <v>0</v>
      </c>
      <c r="Z105" s="48">
        <f t="shared" si="194"/>
        <v>0</v>
      </c>
      <c r="AA105" s="48">
        <f>SUM(AA106:AA108)</f>
        <v>0</v>
      </c>
      <c r="AB105" s="48">
        <f>SUM(AB106:AB108)</f>
        <v>0</v>
      </c>
      <c r="AC105" s="48"/>
      <c r="AD105" s="48"/>
      <c r="AE105" s="48"/>
      <c r="AF105" s="48"/>
      <c r="AG105" s="48"/>
      <c r="AH105" s="48"/>
      <c r="AI105" s="48"/>
      <c r="AJ105" s="48"/>
      <c r="AK105" s="48"/>
      <c r="AL105" s="48"/>
      <c r="AM105" s="118"/>
      <c r="AN105" s="48"/>
      <c r="AO105" s="48"/>
      <c r="AP105" s="48"/>
      <c r="AQ105" s="48"/>
      <c r="AR105" s="48"/>
      <c r="AS105" s="48"/>
      <c r="AT105" s="48"/>
      <c r="AU105" s="48"/>
      <c r="AV105" s="48"/>
      <c r="AW105" s="48"/>
    </row>
    <row r="106" spans="1:49" s="55" customFormat="1" ht="27.5" hidden="1" customHeight="1" outlineLevel="1" x14ac:dyDescent="0.35">
      <c r="A106" s="50" t="s">
        <v>132</v>
      </c>
      <c r="B106" s="42"/>
      <c r="C106" s="54"/>
      <c r="D106" s="54"/>
      <c r="E106" s="54"/>
      <c r="F106" s="54"/>
      <c r="G106" s="54"/>
      <c r="H106" s="42" t="s">
        <v>89</v>
      </c>
      <c r="I106" s="54">
        <v>0</v>
      </c>
      <c r="J106" s="54">
        <v>8000000</v>
      </c>
      <c r="K106" s="54">
        <f t="shared" si="179"/>
        <v>12195.921378992831</v>
      </c>
      <c r="L106" s="54">
        <f t="shared" ref="L106:L108" si="195">I106*J106</f>
        <v>0</v>
      </c>
      <c r="M106" s="54">
        <f t="shared" si="191"/>
        <v>0</v>
      </c>
      <c r="N106" s="74"/>
      <c r="O106" s="74"/>
      <c r="P106" s="74">
        <f>M106</f>
        <v>0</v>
      </c>
      <c r="Q106" s="54"/>
      <c r="R106" s="22">
        <f t="shared" si="180"/>
        <v>0</v>
      </c>
      <c r="S106" s="54"/>
      <c r="T106" s="22">
        <f t="shared" si="181"/>
        <v>0</v>
      </c>
      <c r="U106" s="22">
        <f t="shared" si="182"/>
        <v>0</v>
      </c>
      <c r="V106" s="20">
        <f t="shared" si="183"/>
        <v>0</v>
      </c>
      <c r="W106" s="54"/>
      <c r="X106" s="22">
        <f t="shared" si="184"/>
        <v>0</v>
      </c>
      <c r="Y106" s="22">
        <f>+U106+W106</f>
        <v>0</v>
      </c>
      <c r="Z106" s="22">
        <f t="shared" si="185"/>
        <v>0</v>
      </c>
      <c r="AA106" s="22">
        <f>+L106-Y106</f>
        <v>0</v>
      </c>
      <c r="AB106" s="22">
        <f t="shared" si="186"/>
        <v>0</v>
      </c>
      <c r="AC106" s="54"/>
      <c r="AD106" s="54">
        <f>AB106</f>
        <v>0</v>
      </c>
      <c r="AE106" s="54"/>
      <c r="AF106" s="54"/>
      <c r="AG106" s="54"/>
      <c r="AH106" s="54"/>
      <c r="AI106" s="54"/>
      <c r="AJ106" s="54"/>
      <c r="AK106" s="54"/>
      <c r="AL106" s="54"/>
      <c r="AM106" s="115"/>
      <c r="AN106" s="54"/>
      <c r="AO106" s="54"/>
      <c r="AP106" s="54"/>
      <c r="AQ106" s="54"/>
      <c r="AR106" s="54"/>
      <c r="AS106" s="54"/>
      <c r="AT106" s="54"/>
      <c r="AU106" s="54"/>
      <c r="AV106" s="54"/>
      <c r="AW106" s="54"/>
    </row>
    <row r="107" spans="1:49" s="55" customFormat="1" ht="27.5" hidden="1" customHeight="1" outlineLevel="1" x14ac:dyDescent="0.35">
      <c r="A107" s="50" t="s">
        <v>133</v>
      </c>
      <c r="B107" s="42"/>
      <c r="C107" s="54"/>
      <c r="D107" s="54"/>
      <c r="E107" s="54"/>
      <c r="F107" s="54"/>
      <c r="G107" s="54"/>
      <c r="H107" s="42" t="s">
        <v>89</v>
      </c>
      <c r="I107" s="54">
        <v>0</v>
      </c>
      <c r="J107" s="54">
        <v>2200000</v>
      </c>
      <c r="K107" s="54">
        <f t="shared" si="179"/>
        <v>3353.8783792230283</v>
      </c>
      <c r="L107" s="54">
        <f t="shared" si="195"/>
        <v>0</v>
      </c>
      <c r="M107" s="54">
        <f t="shared" si="191"/>
        <v>0</v>
      </c>
      <c r="N107" s="74"/>
      <c r="O107" s="74"/>
      <c r="P107" s="74">
        <f>M107</f>
        <v>0</v>
      </c>
      <c r="Q107" s="54"/>
      <c r="R107" s="22">
        <f t="shared" si="180"/>
        <v>0</v>
      </c>
      <c r="S107" s="54"/>
      <c r="T107" s="22">
        <f t="shared" si="181"/>
        <v>0</v>
      </c>
      <c r="U107" s="22">
        <f t="shared" si="182"/>
        <v>0</v>
      </c>
      <c r="V107" s="20">
        <f t="shared" si="183"/>
        <v>0</v>
      </c>
      <c r="W107" s="54"/>
      <c r="X107" s="22">
        <f t="shared" si="184"/>
        <v>0</v>
      </c>
      <c r="Y107" s="22">
        <f>+U107+W107</f>
        <v>0</v>
      </c>
      <c r="Z107" s="22">
        <f t="shared" si="185"/>
        <v>0</v>
      </c>
      <c r="AA107" s="22">
        <f>+L107-Y107</f>
        <v>0</v>
      </c>
      <c r="AB107" s="22">
        <f t="shared" si="186"/>
        <v>0</v>
      </c>
      <c r="AC107" s="54"/>
      <c r="AD107" s="54">
        <f>AB107</f>
        <v>0</v>
      </c>
      <c r="AE107" s="54"/>
      <c r="AF107" s="54"/>
      <c r="AG107" s="54"/>
      <c r="AH107" s="54"/>
      <c r="AI107" s="54"/>
      <c r="AJ107" s="54"/>
      <c r="AK107" s="54"/>
      <c r="AL107" s="54"/>
      <c r="AM107" s="115"/>
      <c r="AN107" s="54"/>
      <c r="AO107" s="54"/>
      <c r="AP107" s="54"/>
      <c r="AQ107" s="54"/>
      <c r="AR107" s="54"/>
      <c r="AS107" s="54"/>
      <c r="AT107" s="54"/>
      <c r="AU107" s="54"/>
      <c r="AV107" s="54"/>
      <c r="AW107" s="54"/>
    </row>
    <row r="108" spans="1:49" s="55" customFormat="1" ht="27.5" hidden="1" customHeight="1" outlineLevel="1" x14ac:dyDescent="0.35">
      <c r="A108" s="50" t="s">
        <v>134</v>
      </c>
      <c r="B108" s="42"/>
      <c r="C108" s="54"/>
      <c r="D108" s="54"/>
      <c r="E108" s="54"/>
      <c r="F108" s="54"/>
      <c r="G108" s="54"/>
      <c r="H108" s="42" t="s">
        <v>89</v>
      </c>
      <c r="I108" s="54">
        <v>0</v>
      </c>
      <c r="J108" s="54">
        <v>3224028.6549999998</v>
      </c>
      <c r="K108" s="54">
        <v>4915</v>
      </c>
      <c r="L108" s="54">
        <f t="shared" si="195"/>
        <v>0</v>
      </c>
      <c r="M108" s="54">
        <f t="shared" si="191"/>
        <v>0</v>
      </c>
      <c r="N108" s="74"/>
      <c r="O108" s="74"/>
      <c r="P108" s="74">
        <f>M108</f>
        <v>0</v>
      </c>
      <c r="Q108" s="54"/>
      <c r="R108" s="22">
        <f t="shared" si="180"/>
        <v>0</v>
      </c>
      <c r="S108" s="54"/>
      <c r="T108" s="22">
        <f t="shared" si="181"/>
        <v>0</v>
      </c>
      <c r="U108" s="22">
        <f t="shared" si="182"/>
        <v>0</v>
      </c>
      <c r="V108" s="20">
        <f t="shared" si="183"/>
        <v>0</v>
      </c>
      <c r="W108" s="54"/>
      <c r="X108" s="22">
        <f t="shared" si="184"/>
        <v>0</v>
      </c>
      <c r="Y108" s="22">
        <f>+U108+W108</f>
        <v>0</v>
      </c>
      <c r="Z108" s="22">
        <f t="shared" si="185"/>
        <v>0</v>
      </c>
      <c r="AA108" s="22">
        <f>+L108-Y108</f>
        <v>0</v>
      </c>
      <c r="AB108" s="22">
        <f t="shared" si="186"/>
        <v>0</v>
      </c>
      <c r="AC108" s="54"/>
      <c r="AD108" s="54">
        <f>AB108</f>
        <v>0</v>
      </c>
      <c r="AE108" s="54"/>
      <c r="AF108" s="54"/>
      <c r="AG108" s="54"/>
      <c r="AH108" s="54"/>
      <c r="AI108" s="54"/>
      <c r="AJ108" s="54"/>
      <c r="AK108" s="54"/>
      <c r="AL108" s="54"/>
      <c r="AM108" s="115"/>
      <c r="AN108" s="54"/>
      <c r="AO108" s="54"/>
      <c r="AP108" s="54"/>
      <c r="AQ108" s="54"/>
      <c r="AR108" s="54"/>
      <c r="AS108" s="54"/>
      <c r="AT108" s="54"/>
      <c r="AU108" s="54"/>
      <c r="AV108" s="54"/>
      <c r="AW108" s="54"/>
    </row>
    <row r="109" spans="1:49" s="49" customFormat="1" ht="27.5" customHeight="1" collapsed="1" x14ac:dyDescent="0.35">
      <c r="A109" s="45" t="s">
        <v>135</v>
      </c>
      <c r="B109" s="47"/>
      <c r="C109" s="48"/>
      <c r="D109" s="48"/>
      <c r="E109" s="48"/>
      <c r="F109" s="48"/>
      <c r="G109" s="48"/>
      <c r="H109" s="47" t="s">
        <v>89</v>
      </c>
      <c r="I109" s="48">
        <v>2</v>
      </c>
      <c r="J109" s="48">
        <v>20000000</v>
      </c>
      <c r="K109" s="48">
        <f>J109/$B$2</f>
        <v>30489.803447482078</v>
      </c>
      <c r="L109" s="48">
        <f>I109*J109</f>
        <v>40000000</v>
      </c>
      <c r="M109" s="48">
        <f>+L109/655.957</f>
        <v>60979.606894964156</v>
      </c>
      <c r="N109" s="72"/>
      <c r="O109" s="72">
        <f>M109</f>
        <v>60979.606894964156</v>
      </c>
      <c r="P109" s="72"/>
      <c r="Q109" s="48"/>
      <c r="R109" s="18">
        <f t="shared" si="180"/>
        <v>0</v>
      </c>
      <c r="S109" s="48"/>
      <c r="T109" s="18">
        <f t="shared" si="181"/>
        <v>0</v>
      </c>
      <c r="U109" s="18">
        <f t="shared" si="182"/>
        <v>0</v>
      </c>
      <c r="V109" s="16">
        <f t="shared" si="183"/>
        <v>0</v>
      </c>
      <c r="W109" s="48">
        <f>18277746+820000</f>
        <v>19097746</v>
      </c>
      <c r="X109" s="18">
        <f t="shared" si="184"/>
        <v>29114.326091496852</v>
      </c>
      <c r="Y109" s="18">
        <f>+U109+W109</f>
        <v>19097746</v>
      </c>
      <c r="Z109" s="18">
        <f t="shared" si="185"/>
        <v>29114.326091496852</v>
      </c>
      <c r="AA109" s="18">
        <f>+L109-Y109</f>
        <v>20902254</v>
      </c>
      <c r="AB109" s="18">
        <f t="shared" si="186"/>
        <v>31865.2808034673</v>
      </c>
      <c r="AC109" s="48"/>
      <c r="AD109" s="48">
        <f>AB109</f>
        <v>31865.2808034673</v>
      </c>
      <c r="AE109" s="48"/>
      <c r="AF109" s="48">
        <v>30490</v>
      </c>
      <c r="AG109" s="48"/>
      <c r="AH109" s="48">
        <f>AF109</f>
        <v>30490</v>
      </c>
      <c r="AI109" s="48"/>
      <c r="AJ109" s="17">
        <f t="shared" ref="AJ109:AM110" si="196">AB109-AF109</f>
        <v>1375.2808034672998</v>
      </c>
      <c r="AK109" s="21">
        <f t="shared" si="196"/>
        <v>0</v>
      </c>
      <c r="AL109" s="17">
        <f t="shared" si="196"/>
        <v>1375.2808034672998</v>
      </c>
      <c r="AM109" s="108">
        <f t="shared" si="196"/>
        <v>0</v>
      </c>
      <c r="AN109" s="21"/>
      <c r="AO109" s="21"/>
      <c r="AP109" s="21"/>
      <c r="AQ109" s="21"/>
      <c r="AR109" s="48"/>
      <c r="AS109" s="48"/>
      <c r="AT109" s="48"/>
      <c r="AU109" s="48"/>
      <c r="AV109" s="48"/>
      <c r="AW109" s="48"/>
    </row>
    <row r="110" spans="1:49" s="49" customFormat="1" ht="47.5" customHeight="1" collapsed="1" x14ac:dyDescent="0.35">
      <c r="A110" s="45" t="s">
        <v>136</v>
      </c>
      <c r="B110" s="47"/>
      <c r="C110" s="48"/>
      <c r="D110" s="48"/>
      <c r="E110" s="48"/>
      <c r="F110" s="48"/>
      <c r="G110" s="48"/>
      <c r="H110" s="47" t="s">
        <v>89</v>
      </c>
      <c r="I110" s="48"/>
      <c r="J110" s="48"/>
      <c r="K110" s="48"/>
      <c r="L110" s="48">
        <f t="shared" ref="L110:V110" si="197">SUM(L111:L113)</f>
        <v>40000000</v>
      </c>
      <c r="M110" s="48">
        <f t="shared" si="197"/>
        <v>60979.606894964149</v>
      </c>
      <c r="N110" s="72">
        <f>SUM(N111:N113)</f>
        <v>0</v>
      </c>
      <c r="O110" s="72">
        <f>SUM(O111:O113)</f>
        <v>60979.606894964149</v>
      </c>
      <c r="P110" s="72">
        <f>SUM(P111:P113)</f>
        <v>0</v>
      </c>
      <c r="Q110" s="48">
        <f t="shared" si="197"/>
        <v>0</v>
      </c>
      <c r="R110" s="48">
        <f t="shared" si="197"/>
        <v>0</v>
      </c>
      <c r="S110" s="48">
        <f t="shared" si="197"/>
        <v>0</v>
      </c>
      <c r="T110" s="48">
        <f t="shared" si="197"/>
        <v>0</v>
      </c>
      <c r="U110" s="48">
        <f t="shared" si="197"/>
        <v>0</v>
      </c>
      <c r="V110" s="48">
        <f t="shared" si="197"/>
        <v>0</v>
      </c>
      <c r="W110" s="48">
        <f t="shared" ref="W110:Z110" si="198">SUM(W111:W113)</f>
        <v>17622981</v>
      </c>
      <c r="X110" s="48">
        <f t="shared" si="198"/>
        <v>26866.061342435558</v>
      </c>
      <c r="Y110" s="48">
        <f t="shared" si="198"/>
        <v>17622981</v>
      </c>
      <c r="Z110" s="48">
        <f t="shared" si="198"/>
        <v>26866.061342435558</v>
      </c>
      <c r="AA110" s="48">
        <f>SUM(AA111:AA113)</f>
        <v>22377019</v>
      </c>
      <c r="AB110" s="48">
        <f>SUM(AB111:AB113)</f>
        <v>34113.545552528594</v>
      </c>
      <c r="AC110" s="48"/>
      <c r="AD110" s="48">
        <f>SUM(AD111:AD113)</f>
        <v>34113.545552528594</v>
      </c>
      <c r="AE110" s="48"/>
      <c r="AF110" s="48">
        <f>SUM(AF111:AF113)</f>
        <v>24391.842757985662</v>
      </c>
      <c r="AG110" s="48"/>
      <c r="AH110" s="48">
        <f>AF110</f>
        <v>24391.842757985662</v>
      </c>
      <c r="AI110" s="48"/>
      <c r="AJ110" s="17">
        <f t="shared" si="196"/>
        <v>9721.7027945429327</v>
      </c>
      <c r="AK110" s="21">
        <f t="shared" si="196"/>
        <v>0</v>
      </c>
      <c r="AL110" s="17">
        <f t="shared" si="196"/>
        <v>9721.7027945429327</v>
      </c>
      <c r="AM110" s="108">
        <f t="shared" si="196"/>
        <v>0</v>
      </c>
      <c r="AN110" s="21"/>
      <c r="AO110" s="21"/>
      <c r="AP110" s="21"/>
      <c r="AQ110" s="21"/>
      <c r="AR110" s="48"/>
      <c r="AS110" s="48"/>
      <c r="AT110" s="48"/>
      <c r="AU110" s="48"/>
      <c r="AV110" s="48"/>
      <c r="AW110" s="48"/>
    </row>
    <row r="111" spans="1:49" s="55" customFormat="1" ht="27.5" hidden="1" customHeight="1" outlineLevel="1" x14ac:dyDescent="0.35">
      <c r="A111" s="50" t="s">
        <v>137</v>
      </c>
      <c r="B111" s="42"/>
      <c r="C111" s="54"/>
      <c r="D111" s="54"/>
      <c r="E111" s="54"/>
      <c r="F111" s="54"/>
      <c r="G111" s="54"/>
      <c r="H111" s="42" t="s">
        <v>89</v>
      </c>
      <c r="I111" s="54">
        <v>1</v>
      </c>
      <c r="J111" s="54">
        <v>8000000</v>
      </c>
      <c r="K111" s="54">
        <f>J111/$B$2</f>
        <v>12195.921378992831</v>
      </c>
      <c r="L111" s="54">
        <f>I111*J111</f>
        <v>8000000</v>
      </c>
      <c r="M111" s="54">
        <f>+L111/655.957</f>
        <v>12195.921378992831</v>
      </c>
      <c r="N111" s="74"/>
      <c r="O111" s="74">
        <f>M111</f>
        <v>12195.921378992831</v>
      </c>
      <c r="P111" s="74"/>
      <c r="Q111" s="54"/>
      <c r="R111" s="22">
        <f t="shared" si="180"/>
        <v>0</v>
      </c>
      <c r="S111" s="54"/>
      <c r="T111" s="22">
        <f t="shared" si="181"/>
        <v>0</v>
      </c>
      <c r="U111" s="22">
        <f t="shared" si="182"/>
        <v>0</v>
      </c>
      <c r="V111" s="20">
        <f t="shared" si="183"/>
        <v>0</v>
      </c>
      <c r="W111" s="54">
        <v>8058981</v>
      </c>
      <c r="X111" s="22">
        <f t="shared" si="184"/>
        <v>12285.837333849628</v>
      </c>
      <c r="Y111" s="22">
        <f>+U111+W111</f>
        <v>8058981</v>
      </c>
      <c r="Z111" s="22">
        <f t="shared" si="185"/>
        <v>12285.837333849628</v>
      </c>
      <c r="AA111" s="22">
        <f>+L111-Y111</f>
        <v>-58981</v>
      </c>
      <c r="AB111" s="22">
        <f t="shared" ref="AB111:AB116" si="199">+AA111/655.957</f>
        <v>-89.915954856797015</v>
      </c>
      <c r="AC111" s="54"/>
      <c r="AD111" s="54">
        <f>AB111</f>
        <v>-89.915954856797015</v>
      </c>
      <c r="AE111" s="54"/>
      <c r="AF111" s="54">
        <v>7622.4508618705195</v>
      </c>
      <c r="AG111" s="54"/>
      <c r="AH111" s="54"/>
      <c r="AI111" s="54"/>
      <c r="AJ111" s="54"/>
      <c r="AK111" s="54"/>
      <c r="AL111" s="54"/>
      <c r="AM111" s="115"/>
      <c r="AN111" s="54"/>
      <c r="AO111" s="54"/>
      <c r="AP111" s="54"/>
      <c r="AQ111" s="54"/>
      <c r="AR111" s="54"/>
      <c r="AS111" s="54"/>
      <c r="AT111" s="54"/>
      <c r="AU111" s="54"/>
      <c r="AV111" s="54"/>
      <c r="AW111" s="54"/>
    </row>
    <row r="112" spans="1:49" s="55" customFormat="1" ht="27.5" hidden="1" customHeight="1" outlineLevel="1" x14ac:dyDescent="0.35">
      <c r="A112" s="50" t="s">
        <v>138</v>
      </c>
      <c r="B112" s="42"/>
      <c r="C112" s="54"/>
      <c r="D112" s="54"/>
      <c r="E112" s="54"/>
      <c r="F112" s="54"/>
      <c r="G112" s="54"/>
      <c r="H112" s="42" t="s">
        <v>89</v>
      </c>
      <c r="I112" s="54">
        <v>2</v>
      </c>
      <c r="J112" s="54">
        <v>6000000</v>
      </c>
      <c r="K112" s="54">
        <f>J112/$B$2</f>
        <v>9146.9410342446226</v>
      </c>
      <c r="L112" s="54">
        <f t="shared" ref="L112:L113" si="200">I112*J112</f>
        <v>12000000</v>
      </c>
      <c r="M112" s="54">
        <f t="shared" ref="M112:M113" si="201">+L112/655.957</f>
        <v>18293.882068489245</v>
      </c>
      <c r="N112" s="74"/>
      <c r="O112" s="74">
        <f>M112</f>
        <v>18293.882068489245</v>
      </c>
      <c r="P112" s="74"/>
      <c r="Q112" s="54"/>
      <c r="R112" s="22">
        <f t="shared" si="180"/>
        <v>0</v>
      </c>
      <c r="S112" s="54"/>
      <c r="T112" s="22">
        <f t="shared" si="181"/>
        <v>0</v>
      </c>
      <c r="U112" s="22">
        <f t="shared" si="182"/>
        <v>0</v>
      </c>
      <c r="V112" s="20">
        <f t="shared" si="183"/>
        <v>0</v>
      </c>
      <c r="W112" s="54">
        <v>4728000</v>
      </c>
      <c r="X112" s="22">
        <f t="shared" si="184"/>
        <v>7207.7895349847631</v>
      </c>
      <c r="Y112" s="22">
        <f>+U112+W112</f>
        <v>4728000</v>
      </c>
      <c r="Z112" s="22">
        <f t="shared" si="185"/>
        <v>7207.7895349847631</v>
      </c>
      <c r="AA112" s="22">
        <f>+L112-Y112</f>
        <v>7272000</v>
      </c>
      <c r="AB112" s="22">
        <f t="shared" si="199"/>
        <v>11086.092533504483</v>
      </c>
      <c r="AC112" s="54"/>
      <c r="AD112" s="54">
        <f t="shared" ref="AD112:AD113" si="202">AB112</f>
        <v>11086.092533504483</v>
      </c>
      <c r="AE112" s="54"/>
      <c r="AF112" s="54">
        <v>9146.9410342446226</v>
      </c>
      <c r="AG112" s="54"/>
      <c r="AH112" s="54"/>
      <c r="AI112" s="54"/>
      <c r="AJ112" s="54"/>
      <c r="AK112" s="54"/>
      <c r="AL112" s="54"/>
      <c r="AM112" s="115"/>
      <c r="AN112" s="54"/>
      <c r="AO112" s="54"/>
      <c r="AP112" s="54"/>
      <c r="AQ112" s="54"/>
      <c r="AR112" s="54"/>
      <c r="AS112" s="54"/>
      <c r="AT112" s="54"/>
      <c r="AU112" s="54"/>
      <c r="AV112" s="54"/>
      <c r="AW112" s="54"/>
    </row>
    <row r="113" spans="1:49 16376:16376" s="55" customFormat="1" ht="27.5" hidden="1" customHeight="1" outlineLevel="1" x14ac:dyDescent="0.35">
      <c r="A113" s="50" t="s">
        <v>139</v>
      </c>
      <c r="B113" s="42"/>
      <c r="C113" s="54"/>
      <c r="D113" s="54"/>
      <c r="E113" s="54"/>
      <c r="F113" s="54"/>
      <c r="G113" s="54"/>
      <c r="H113" s="42" t="s">
        <v>89</v>
      </c>
      <c r="I113" s="38">
        <v>4</v>
      </c>
      <c r="J113" s="54">
        <v>5000000</v>
      </c>
      <c r="K113" s="54">
        <f>J113/$B$2</f>
        <v>7622.4508618705195</v>
      </c>
      <c r="L113" s="54">
        <f t="shared" si="200"/>
        <v>20000000</v>
      </c>
      <c r="M113" s="54">
        <f t="shared" si="201"/>
        <v>30489.803447482078</v>
      </c>
      <c r="N113" s="74"/>
      <c r="O113" s="74">
        <f>M113</f>
        <v>30489.803447482078</v>
      </c>
      <c r="P113" s="74"/>
      <c r="Q113" s="54"/>
      <c r="R113" s="22">
        <f t="shared" si="180"/>
        <v>0</v>
      </c>
      <c r="S113" s="54"/>
      <c r="T113" s="22">
        <f t="shared" si="181"/>
        <v>0</v>
      </c>
      <c r="U113" s="22">
        <f t="shared" si="182"/>
        <v>0</v>
      </c>
      <c r="V113" s="20">
        <f t="shared" si="183"/>
        <v>0</v>
      </c>
      <c r="W113" s="54">
        <v>4836000</v>
      </c>
      <c r="X113" s="22">
        <f t="shared" si="184"/>
        <v>7372.4344736011662</v>
      </c>
      <c r="Y113" s="22">
        <f>+U113+W113</f>
        <v>4836000</v>
      </c>
      <c r="Z113" s="22">
        <f t="shared" si="185"/>
        <v>7372.4344736011662</v>
      </c>
      <c r="AA113" s="22">
        <f>+L113-Y113</f>
        <v>15164000</v>
      </c>
      <c r="AB113" s="22">
        <f t="shared" si="199"/>
        <v>23117.368973880912</v>
      </c>
      <c r="AC113" s="54"/>
      <c r="AD113" s="54">
        <f t="shared" si="202"/>
        <v>23117.368973880912</v>
      </c>
      <c r="AE113" s="54"/>
      <c r="AF113" s="54">
        <v>7622.4508618705195</v>
      </c>
      <c r="AG113" s="54"/>
      <c r="AH113" s="54"/>
      <c r="AI113" s="54"/>
      <c r="AJ113" s="54"/>
      <c r="AK113" s="54"/>
      <c r="AL113" s="54"/>
      <c r="AM113" s="115"/>
      <c r="AN113" s="54"/>
      <c r="AO113" s="54"/>
      <c r="AP113" s="54"/>
      <c r="AQ113" s="54"/>
      <c r="AR113" s="54"/>
      <c r="AS113" s="54"/>
      <c r="AT113" s="54"/>
      <c r="AU113" s="54"/>
      <c r="AV113" s="54"/>
      <c r="AW113" s="54"/>
    </row>
    <row r="114" spans="1:49 16376:16376" s="49" customFormat="1" ht="38" customHeight="1" collapsed="1" x14ac:dyDescent="0.35">
      <c r="A114" s="45" t="s">
        <v>140</v>
      </c>
      <c r="B114" s="47"/>
      <c r="C114" s="48"/>
      <c r="D114" s="48"/>
      <c r="E114" s="48"/>
      <c r="F114" s="48"/>
      <c r="G114" s="48"/>
      <c r="H114" s="47"/>
      <c r="I114" s="48"/>
      <c r="J114" s="48"/>
      <c r="K114" s="48"/>
      <c r="L114" s="48">
        <f t="shared" ref="L114:V114" si="203">SUM(L115:L116)</f>
        <v>7500000</v>
      </c>
      <c r="M114" s="48">
        <f t="shared" si="203"/>
        <v>11433.676292805778</v>
      </c>
      <c r="N114" s="72">
        <f>SUM(N115:N116)</f>
        <v>0</v>
      </c>
      <c r="O114" s="72">
        <f>SUM(O115:O116)</f>
        <v>11433.676292805778</v>
      </c>
      <c r="P114" s="72">
        <f>SUM(P115:P116)</f>
        <v>0</v>
      </c>
      <c r="Q114" s="48">
        <f t="shared" si="203"/>
        <v>0</v>
      </c>
      <c r="R114" s="48">
        <f t="shared" si="203"/>
        <v>0</v>
      </c>
      <c r="S114" s="48">
        <f t="shared" si="203"/>
        <v>0</v>
      </c>
      <c r="T114" s="48">
        <f t="shared" si="203"/>
        <v>0</v>
      </c>
      <c r="U114" s="48">
        <f t="shared" si="203"/>
        <v>0</v>
      </c>
      <c r="V114" s="48">
        <f t="shared" si="203"/>
        <v>0</v>
      </c>
      <c r="W114" s="48">
        <f t="shared" ref="W114:Z114" si="204">SUM(W115:W116)</f>
        <v>0</v>
      </c>
      <c r="X114" s="48">
        <f t="shared" si="204"/>
        <v>0</v>
      </c>
      <c r="Y114" s="48">
        <f t="shared" si="204"/>
        <v>0</v>
      </c>
      <c r="Z114" s="48">
        <f t="shared" si="204"/>
        <v>0</v>
      </c>
      <c r="AA114" s="48">
        <f>SUM(AA115:AA116)</f>
        <v>7500000</v>
      </c>
      <c r="AB114" s="48">
        <f>SUM(AB115:AB116)</f>
        <v>11433.676292805778</v>
      </c>
      <c r="AC114" s="48"/>
      <c r="AD114" s="48">
        <f>AB114</f>
        <v>11433.676292805778</v>
      </c>
      <c r="AE114" s="48"/>
      <c r="AF114" s="48">
        <f>SUM(AF115:AF116)</f>
        <v>11433.676292805778</v>
      </c>
      <c r="AG114" s="48"/>
      <c r="AH114" s="48">
        <f>AF114</f>
        <v>11433.676292805778</v>
      </c>
      <c r="AI114" s="48"/>
      <c r="AJ114" s="21">
        <f>AB114-AF114</f>
        <v>0</v>
      </c>
      <c r="AK114" s="21">
        <f>AC114-AG114</f>
        <v>0</v>
      </c>
      <c r="AL114" s="21">
        <f>AD114-AH114</f>
        <v>0</v>
      </c>
      <c r="AM114" s="108">
        <f>AE114-AI114</f>
        <v>0</v>
      </c>
      <c r="AN114" s="21"/>
      <c r="AO114" s="21"/>
      <c r="AP114" s="21"/>
      <c r="AQ114" s="21"/>
      <c r="AR114" s="48"/>
      <c r="AS114" s="48"/>
      <c r="AT114" s="48"/>
      <c r="AU114" s="48"/>
      <c r="AV114" s="48"/>
      <c r="AW114" s="48"/>
    </row>
    <row r="115" spans="1:49 16376:16376" s="6" customFormat="1" ht="27.5" hidden="1" customHeight="1" outlineLevel="1" x14ac:dyDescent="0.35">
      <c r="A115" s="57" t="s">
        <v>141</v>
      </c>
      <c r="B115" s="20"/>
      <c r="C115" s="38"/>
      <c r="D115" s="58"/>
      <c r="E115" s="58"/>
      <c r="F115" s="58"/>
      <c r="G115" s="58"/>
      <c r="H115" s="20" t="s">
        <v>89</v>
      </c>
      <c r="I115" s="38">
        <v>1</v>
      </c>
      <c r="J115" s="58">
        <v>500000</v>
      </c>
      <c r="K115" s="54">
        <f>J115/$B$2</f>
        <v>762.24508618705192</v>
      </c>
      <c r="L115" s="58">
        <f t="shared" si="190"/>
        <v>500000</v>
      </c>
      <c r="M115" s="58">
        <f t="shared" si="191"/>
        <v>762.24508618705192</v>
      </c>
      <c r="N115" s="76"/>
      <c r="O115" s="76">
        <f>M115</f>
        <v>762.24508618705192</v>
      </c>
      <c r="P115" s="76"/>
      <c r="Q115" s="54"/>
      <c r="R115" s="22">
        <f t="shared" ref="R115:R116" si="205">+Q115/655.957</f>
        <v>0</v>
      </c>
      <c r="S115" s="54"/>
      <c r="T115" s="22">
        <f t="shared" ref="T115:T116" si="206">+S115/655.957</f>
        <v>0</v>
      </c>
      <c r="U115" s="22">
        <f t="shared" ref="U115:U116" si="207">Q115+S115</f>
        <v>0</v>
      </c>
      <c r="V115" s="20">
        <f t="shared" ref="V115:V116" si="208">+U115/655.957</f>
        <v>0</v>
      </c>
      <c r="W115" s="58"/>
      <c r="X115" s="58"/>
      <c r="Y115" s="22">
        <f>+U115+W115</f>
        <v>0</v>
      </c>
      <c r="Z115" s="22">
        <f t="shared" ref="Z115:Z116" si="209">+Y115/655.957</f>
        <v>0</v>
      </c>
      <c r="AA115" s="22">
        <f>+L115-Y115</f>
        <v>500000</v>
      </c>
      <c r="AB115" s="22">
        <f t="shared" si="199"/>
        <v>762.24508618705192</v>
      </c>
      <c r="AC115" s="38"/>
      <c r="AD115" s="38"/>
      <c r="AE115" s="38"/>
      <c r="AF115" s="81">
        <v>762.24508618705192</v>
      </c>
      <c r="AG115" s="38"/>
      <c r="AH115" s="38"/>
      <c r="AI115" s="38"/>
      <c r="AJ115" s="38"/>
      <c r="AK115" s="38"/>
      <c r="AL115" s="38"/>
      <c r="AM115" s="117"/>
      <c r="AN115" s="38"/>
      <c r="AO115" s="38"/>
      <c r="AP115" s="38"/>
      <c r="AQ115" s="38"/>
      <c r="AR115" s="38"/>
      <c r="AS115" s="38"/>
      <c r="AT115" s="38"/>
      <c r="AU115" s="38"/>
      <c r="AV115" s="38"/>
      <c r="AW115" s="38"/>
    </row>
    <row r="116" spans="1:49 16376:16376" s="55" customFormat="1" ht="27.5" hidden="1" customHeight="1" outlineLevel="1" x14ac:dyDescent="0.35">
      <c r="A116" s="50" t="s">
        <v>142</v>
      </c>
      <c r="B116" s="42"/>
      <c r="C116" s="54"/>
      <c r="D116" s="54"/>
      <c r="E116" s="54"/>
      <c r="F116" s="54"/>
      <c r="G116" s="54"/>
      <c r="H116" s="42" t="s">
        <v>89</v>
      </c>
      <c r="I116" s="54">
        <v>1</v>
      </c>
      <c r="J116" s="54">
        <v>7000000</v>
      </c>
      <c r="K116" s="54">
        <f>J116/$B$2</f>
        <v>10671.431206618727</v>
      </c>
      <c r="L116" s="54">
        <f t="shared" si="190"/>
        <v>7000000</v>
      </c>
      <c r="M116" s="54">
        <f t="shared" si="191"/>
        <v>10671.431206618727</v>
      </c>
      <c r="N116" s="74"/>
      <c r="O116" s="74">
        <f>M116</f>
        <v>10671.431206618727</v>
      </c>
      <c r="P116" s="74"/>
      <c r="Q116" s="54"/>
      <c r="R116" s="22">
        <f t="shared" si="205"/>
        <v>0</v>
      </c>
      <c r="S116" s="54"/>
      <c r="T116" s="22">
        <f t="shared" si="206"/>
        <v>0</v>
      </c>
      <c r="U116" s="22">
        <f t="shared" si="207"/>
        <v>0</v>
      </c>
      <c r="V116" s="20">
        <f t="shared" si="208"/>
        <v>0</v>
      </c>
      <c r="W116" s="54"/>
      <c r="X116" s="54"/>
      <c r="Y116" s="22">
        <f>+U116+W116</f>
        <v>0</v>
      </c>
      <c r="Z116" s="22">
        <f t="shared" si="209"/>
        <v>0</v>
      </c>
      <c r="AA116" s="22">
        <f>+L116-Y116</f>
        <v>7000000</v>
      </c>
      <c r="AB116" s="22">
        <f t="shared" si="199"/>
        <v>10671.431206618727</v>
      </c>
      <c r="AC116" s="54"/>
      <c r="AD116" s="54"/>
      <c r="AE116" s="54"/>
      <c r="AF116" s="86">
        <v>10671.431206618727</v>
      </c>
      <c r="AG116" s="54"/>
      <c r="AH116" s="54"/>
      <c r="AI116" s="54"/>
      <c r="AJ116" s="54"/>
      <c r="AK116" s="54"/>
      <c r="AL116" s="54"/>
      <c r="AM116" s="115"/>
      <c r="AN116" s="54"/>
      <c r="AO116" s="54"/>
      <c r="AP116" s="54"/>
      <c r="AQ116" s="54"/>
      <c r="AR116" s="54"/>
      <c r="AS116" s="54"/>
      <c r="AT116" s="54"/>
      <c r="AU116" s="54"/>
      <c r="AV116" s="54"/>
      <c r="AW116" s="54"/>
    </row>
    <row r="117" spans="1:49 16376:16376" ht="27.5" customHeight="1" collapsed="1" x14ac:dyDescent="0.35">
      <c r="A117" s="44" t="s">
        <v>143</v>
      </c>
      <c r="B117" s="136"/>
      <c r="C117" s="136"/>
      <c r="D117" s="136"/>
      <c r="E117" s="27">
        <f>SUM(E99:E101)</f>
        <v>113501</v>
      </c>
      <c r="F117" s="27">
        <f>+E117*655.957</f>
        <v>74451775.457000002</v>
      </c>
      <c r="G117" s="28">
        <f>F117/$F$159</f>
        <v>0.10402140958120841</v>
      </c>
      <c r="H117" s="136"/>
      <c r="I117" s="137"/>
      <c r="J117" s="137"/>
      <c r="K117" s="26"/>
      <c r="L117" s="27">
        <f t="shared" ref="L117:V117" si="210">L99+L100+L101+L105+L109+L110+L114</f>
        <v>124700000</v>
      </c>
      <c r="M117" s="27">
        <f t="shared" si="210"/>
        <v>190103.92449505074</v>
      </c>
      <c r="N117" s="68">
        <f>N99+N100+N101+N105+N109+N110+N114</f>
        <v>0</v>
      </c>
      <c r="O117" s="68">
        <f>O99+O100+O101+O105+O109+O110+O114</f>
        <v>163120.44844402911</v>
      </c>
      <c r="P117" s="68">
        <f>P99+P100+P101+P105+P109+P110+P114</f>
        <v>26983.476051021637</v>
      </c>
      <c r="Q117" s="27">
        <f t="shared" si="210"/>
        <v>3744203</v>
      </c>
      <c r="R117" s="27">
        <f t="shared" si="210"/>
        <v>5708.0006768736366</v>
      </c>
      <c r="S117" s="27">
        <f t="shared" si="210"/>
        <v>27683512</v>
      </c>
      <c r="T117" s="27">
        <f t="shared" si="210"/>
        <v>42203.241980800565</v>
      </c>
      <c r="U117" s="27">
        <f t="shared" si="210"/>
        <v>31427715</v>
      </c>
      <c r="V117" s="27">
        <f t="shared" si="210"/>
        <v>47911.2426576742</v>
      </c>
      <c r="W117" s="27">
        <f t="shared" ref="W117:AB117" si="211">W99+W100+W101+W105+W109+W110+W114</f>
        <v>36720727</v>
      </c>
      <c r="X117" s="27">
        <f t="shared" si="211"/>
        <v>55980.38743393241</v>
      </c>
      <c r="Y117" s="27">
        <f t="shared" si="211"/>
        <v>68148442</v>
      </c>
      <c r="Z117" s="27">
        <f t="shared" si="211"/>
        <v>103891.63009160661</v>
      </c>
      <c r="AA117" s="27">
        <f t="shared" si="211"/>
        <v>56551558</v>
      </c>
      <c r="AB117" s="27">
        <f t="shared" si="211"/>
        <v>86212.294403444117</v>
      </c>
      <c r="AC117" s="27">
        <f t="shared" ref="AC117:AM117" si="212">AC99+AC100+AC101+AC105+AC109+AC110+AC114</f>
        <v>0</v>
      </c>
      <c r="AD117" s="27">
        <f t="shared" si="212"/>
        <v>86172.985424349448</v>
      </c>
      <c r="AE117" s="27">
        <f t="shared" si="212"/>
        <v>39.30897909466627</v>
      </c>
      <c r="AF117" s="27">
        <f t="shared" ref="AF117" si="213">AF99+AF100+AF101+AF105+AF109+AF110+AF114</f>
        <v>66315.519050791438</v>
      </c>
      <c r="AG117" s="27">
        <f t="shared" si="212"/>
        <v>0</v>
      </c>
      <c r="AH117" s="27">
        <f t="shared" si="212"/>
        <v>66315.519050791438</v>
      </c>
      <c r="AI117" s="27">
        <f t="shared" si="212"/>
        <v>0</v>
      </c>
      <c r="AJ117" s="33">
        <f t="shared" si="212"/>
        <v>19896.775352652687</v>
      </c>
      <c r="AK117" s="27">
        <f t="shared" si="212"/>
        <v>0</v>
      </c>
      <c r="AL117" s="27">
        <f t="shared" si="212"/>
        <v>19857.466373558018</v>
      </c>
      <c r="AM117" s="110">
        <f t="shared" si="212"/>
        <v>39.30897909466627</v>
      </c>
      <c r="AN117" s="27"/>
      <c r="AO117" s="27"/>
      <c r="AP117" s="27"/>
      <c r="AQ117" s="27"/>
      <c r="AR117" s="27">
        <f t="shared" ref="AR117:AW117" si="214">AR99+AR100+AR101+AR105+AR109+AR110+AR114</f>
        <v>0</v>
      </c>
      <c r="AS117" s="27">
        <f t="shared" si="214"/>
        <v>0</v>
      </c>
      <c r="AT117" s="27">
        <f t="shared" si="214"/>
        <v>0</v>
      </c>
      <c r="AU117" s="27">
        <f t="shared" si="214"/>
        <v>0</v>
      </c>
      <c r="AV117" s="27">
        <f t="shared" si="214"/>
        <v>0</v>
      </c>
      <c r="AW117" s="27">
        <f t="shared" si="214"/>
        <v>0</v>
      </c>
    </row>
    <row r="118" spans="1:49 16376:16376" s="59" customFormat="1" ht="37" customHeight="1" x14ac:dyDescent="0.35">
      <c r="A118" s="45" t="s">
        <v>144</v>
      </c>
      <c r="B118" s="16"/>
      <c r="C118" s="17"/>
      <c r="D118" s="18"/>
      <c r="E118" s="18"/>
      <c r="F118" s="18" t="s">
        <v>2</v>
      </c>
      <c r="G118" s="18"/>
      <c r="H118" s="17"/>
      <c r="I118" s="17"/>
      <c r="J118" s="18"/>
      <c r="K118" s="18"/>
      <c r="L118" s="18"/>
      <c r="M118" s="18"/>
      <c r="N118" s="67"/>
      <c r="O118" s="67"/>
      <c r="P118" s="67"/>
      <c r="Q118" s="18"/>
      <c r="R118" s="18"/>
      <c r="S118" s="18"/>
      <c r="T118" s="18"/>
      <c r="U118" s="18"/>
      <c r="V118" s="17"/>
      <c r="W118" s="18"/>
      <c r="X118" s="18"/>
      <c r="Y118" s="39">
        <f>Y117+AA117</f>
        <v>124700000</v>
      </c>
      <c r="Z118" s="80"/>
      <c r="AA118" s="80"/>
      <c r="AB118" s="80"/>
      <c r="AC118" s="17"/>
      <c r="AD118" s="17"/>
      <c r="AE118" s="17"/>
      <c r="AF118" s="97">
        <f>AF117*655.957</f>
        <v>43500128.93</v>
      </c>
      <c r="AG118" s="97">
        <f>AG117*655.957</f>
        <v>0</v>
      </c>
      <c r="AH118" s="97">
        <f>AH117*655.957</f>
        <v>43500128.93</v>
      </c>
      <c r="AI118" s="97">
        <f>AI117*655.957</f>
        <v>0</v>
      </c>
      <c r="AJ118" s="17"/>
      <c r="AK118" s="17"/>
      <c r="AL118" s="17"/>
      <c r="AM118" s="113"/>
      <c r="AN118" s="17"/>
      <c r="AO118" s="17"/>
      <c r="AP118" s="17"/>
      <c r="AQ118" s="17"/>
      <c r="AR118" s="17"/>
      <c r="AS118" s="17"/>
      <c r="AT118" s="17"/>
      <c r="AU118" s="17"/>
      <c r="AV118" s="17"/>
      <c r="AW118" s="17"/>
    </row>
    <row r="119" spans="1:49 16376:16376" s="49" customFormat="1" ht="37" customHeight="1" x14ac:dyDescent="0.35">
      <c r="A119" s="45" t="s">
        <v>145</v>
      </c>
      <c r="B119" s="47" t="s">
        <v>89</v>
      </c>
      <c r="C119" s="48">
        <v>8</v>
      </c>
      <c r="D119" s="48">
        <v>4573</v>
      </c>
      <c r="E119" s="48">
        <f>C119*D119</f>
        <v>36584</v>
      </c>
      <c r="F119" s="48">
        <f t="shared" si="0"/>
        <v>23997530.888</v>
      </c>
      <c r="G119" s="48"/>
      <c r="H119" s="47" t="s">
        <v>89</v>
      </c>
      <c r="I119" s="48">
        <v>1</v>
      </c>
      <c r="J119" s="48">
        <v>9600000</v>
      </c>
      <c r="K119" s="48">
        <f>J119/$B$2</f>
        <v>14635.105654791396</v>
      </c>
      <c r="L119" s="48">
        <f>I119*J119</f>
        <v>9600000</v>
      </c>
      <c r="M119" s="18">
        <f t="shared" ref="M119:M133" si="215">+L119/655.957</f>
        <v>14635.105654791396</v>
      </c>
      <c r="N119" s="72"/>
      <c r="O119" s="72"/>
      <c r="P119" s="72">
        <f>M119</f>
        <v>14635.105654791396</v>
      </c>
      <c r="Q119" s="18">
        <v>3104644</v>
      </c>
      <c r="R119" s="18">
        <f t="shared" ref="R119:R145" si="216">+Q119/655.957</f>
        <v>4732.9992667202268</v>
      </c>
      <c r="S119" s="18">
        <v>2624630</v>
      </c>
      <c r="T119" s="18">
        <f t="shared" ref="T119:T145" si="217">+S119/655.957</f>
        <v>4001.2226411182442</v>
      </c>
      <c r="U119" s="18">
        <f t="shared" ref="U119:U145" si="218">Q119+S119</f>
        <v>5729274</v>
      </c>
      <c r="V119" s="16">
        <f t="shared" ref="V119:V145" si="219">+U119/655.957</f>
        <v>8734.2219078384715</v>
      </c>
      <c r="W119" s="18">
        <v>2581847</v>
      </c>
      <c r="X119" s="18">
        <f t="shared" ref="X119:X145" si="220">+W119/655.957</f>
        <v>3936.0003780735628</v>
      </c>
      <c r="Y119" s="18">
        <f>+U119+W119</f>
        <v>8311121</v>
      </c>
      <c r="Z119" s="18">
        <f t="shared" ref="Z119:Z145" si="221">+Y119/655.957</f>
        <v>12670.222285912034</v>
      </c>
      <c r="AA119" s="18">
        <f>+L119-Y119</f>
        <v>1288879</v>
      </c>
      <c r="AB119" s="18">
        <f t="shared" ref="AB119" si="222">+AA119/655.957</f>
        <v>1964.8833688793625</v>
      </c>
      <c r="AC119" s="48"/>
      <c r="AD119" s="48"/>
      <c r="AE119" s="48">
        <f>AB119</f>
        <v>1964.8833688793625</v>
      </c>
      <c r="AF119" s="48"/>
      <c r="AG119" s="48"/>
      <c r="AH119" s="48"/>
      <c r="AI119" s="48"/>
      <c r="AJ119" s="17">
        <f t="shared" ref="AJ119:AM120" si="223">AB119-AF119</f>
        <v>1964.8833688793625</v>
      </c>
      <c r="AK119" s="21">
        <f t="shared" si="223"/>
        <v>0</v>
      </c>
      <c r="AL119" s="21">
        <f t="shared" si="223"/>
        <v>0</v>
      </c>
      <c r="AM119" s="113">
        <f t="shared" si="223"/>
        <v>1964.8833688793625</v>
      </c>
      <c r="AN119" s="17"/>
      <c r="AO119" s="17"/>
      <c r="AP119" s="17"/>
      <c r="AQ119" s="17"/>
      <c r="AR119" s="48"/>
      <c r="AS119" s="48"/>
      <c r="AT119" s="48"/>
      <c r="AU119" s="48"/>
      <c r="AV119" s="48"/>
      <c r="AW119" s="48"/>
    </row>
    <row r="120" spans="1:49 16376:16376" s="49" customFormat="1" ht="37" customHeight="1" x14ac:dyDescent="0.35">
      <c r="A120" s="45" t="s">
        <v>146</v>
      </c>
      <c r="B120" s="47"/>
      <c r="C120" s="48"/>
      <c r="D120" s="48"/>
      <c r="E120" s="48"/>
      <c r="F120" s="48"/>
      <c r="G120" s="48"/>
      <c r="H120" s="47"/>
      <c r="I120" s="48"/>
      <c r="J120" s="48"/>
      <c r="K120" s="48"/>
      <c r="L120" s="48">
        <f t="shared" ref="L120:V120" si="224">SUM(L121:L125)</f>
        <v>15000000</v>
      </c>
      <c r="M120" s="48">
        <f t="shared" si="224"/>
        <v>22867.352585611559</v>
      </c>
      <c r="N120" s="71"/>
      <c r="O120" s="71"/>
      <c r="P120" s="72">
        <f>SUM(P121:P125)</f>
        <v>22867.352585611559</v>
      </c>
      <c r="Q120" s="48">
        <f t="shared" si="224"/>
        <v>0</v>
      </c>
      <c r="R120" s="48">
        <f t="shared" si="224"/>
        <v>0</v>
      </c>
      <c r="S120" s="48">
        <f t="shared" si="224"/>
        <v>0</v>
      </c>
      <c r="T120" s="48">
        <f t="shared" si="224"/>
        <v>0</v>
      </c>
      <c r="U120" s="48">
        <f t="shared" si="224"/>
        <v>0</v>
      </c>
      <c r="V120" s="48">
        <f t="shared" si="224"/>
        <v>0</v>
      </c>
      <c r="W120" s="48">
        <f t="shared" ref="W120:AB120" si="225">SUM(W121:W125)</f>
        <v>2228941.7429999998</v>
      </c>
      <c r="X120" s="48">
        <f t="shared" si="225"/>
        <v>3397.9997819979053</v>
      </c>
      <c r="Y120" s="48">
        <f t="shared" si="225"/>
        <v>2228941.7429999998</v>
      </c>
      <c r="Z120" s="48">
        <f t="shared" si="225"/>
        <v>3397.9997819979053</v>
      </c>
      <c r="AA120" s="48">
        <f t="shared" si="225"/>
        <v>12771058.256999999</v>
      </c>
      <c r="AB120" s="48">
        <f t="shared" si="225"/>
        <v>19469.352803613652</v>
      </c>
      <c r="AC120" s="48"/>
      <c r="AD120" s="48"/>
      <c r="AE120" s="48">
        <f>SUM(AE121:AE125)</f>
        <v>19469.352803613652</v>
      </c>
      <c r="AF120" s="48">
        <f>SUM(AF121:AF125)</f>
        <v>18903.678137438888</v>
      </c>
      <c r="AG120" s="48"/>
      <c r="AH120" s="48"/>
      <c r="AI120" s="48">
        <f>AF120</f>
        <v>18903.678137438888</v>
      </c>
      <c r="AJ120" s="17">
        <f t="shared" si="223"/>
        <v>565.67466617476384</v>
      </c>
      <c r="AK120" s="21">
        <f t="shared" si="223"/>
        <v>0</v>
      </c>
      <c r="AL120" s="21">
        <f t="shared" si="223"/>
        <v>0</v>
      </c>
      <c r="AM120" s="113">
        <f t="shared" si="223"/>
        <v>565.67466617476384</v>
      </c>
      <c r="AN120" s="17"/>
      <c r="AO120" s="17"/>
      <c r="AP120" s="17"/>
      <c r="AQ120" s="17"/>
      <c r="AR120" s="48"/>
      <c r="AS120" s="48"/>
      <c r="AT120" s="48"/>
      <c r="AU120" s="48"/>
      <c r="AV120" s="48"/>
      <c r="AW120" s="48"/>
    </row>
    <row r="121" spans="1:49 16376:16376" s="6" customFormat="1" ht="35.5" hidden="1" customHeight="1" outlineLevel="1" x14ac:dyDescent="0.35">
      <c r="A121" s="57" t="s">
        <v>147</v>
      </c>
      <c r="B121" s="20"/>
      <c r="C121" s="38"/>
      <c r="D121" s="58"/>
      <c r="E121" s="58"/>
      <c r="F121" s="58"/>
      <c r="G121" s="58"/>
      <c r="H121" s="20" t="s">
        <v>89</v>
      </c>
      <c r="I121" s="38">
        <v>1</v>
      </c>
      <c r="J121" s="58">
        <v>500000</v>
      </c>
      <c r="K121" s="54">
        <f>J121/$B$2</f>
        <v>762.24508618705192</v>
      </c>
      <c r="L121" s="58">
        <f t="shared" ref="L121:L133" si="226">I121*J121</f>
        <v>500000</v>
      </c>
      <c r="M121" s="58">
        <f t="shared" si="215"/>
        <v>762.24508618705192</v>
      </c>
      <c r="N121" s="76"/>
      <c r="O121" s="76"/>
      <c r="P121" s="76">
        <f>M121</f>
        <v>762.24508618705192</v>
      </c>
      <c r="Q121" s="58"/>
      <c r="R121" s="22">
        <f t="shared" si="216"/>
        <v>0</v>
      </c>
      <c r="S121" s="58"/>
      <c r="T121" s="22">
        <f t="shared" si="217"/>
        <v>0</v>
      </c>
      <c r="U121" s="22">
        <f t="shared" si="218"/>
        <v>0</v>
      </c>
      <c r="V121" s="20">
        <f t="shared" si="219"/>
        <v>0</v>
      </c>
      <c r="W121" s="58">
        <v>428340</v>
      </c>
      <c r="X121" s="22">
        <f t="shared" si="220"/>
        <v>653.00012043472361</v>
      </c>
      <c r="Y121" s="22">
        <f t="shared" ref="Y121:Y126" si="227">+U121+W121</f>
        <v>428340</v>
      </c>
      <c r="Z121" s="22">
        <f t="shared" si="221"/>
        <v>653.00012043472361</v>
      </c>
      <c r="AA121" s="22">
        <f>+L121-Y121</f>
        <v>71660</v>
      </c>
      <c r="AB121" s="22">
        <f t="shared" ref="AB121:AB125" si="228">+AA121/655.957</f>
        <v>109.24496575232828</v>
      </c>
      <c r="AC121" s="38"/>
      <c r="AD121" s="38"/>
      <c r="AE121" s="38">
        <f>AB121</f>
        <v>109.24496575232828</v>
      </c>
      <c r="AF121" s="38"/>
      <c r="AG121" s="38"/>
      <c r="AH121" s="38"/>
      <c r="AI121" s="38"/>
      <c r="AJ121" s="38"/>
      <c r="AK121" s="38"/>
      <c r="AL121" s="38"/>
      <c r="AM121" s="117"/>
      <c r="AN121" s="38"/>
      <c r="AO121" s="38"/>
      <c r="AP121" s="38"/>
      <c r="AQ121" s="38"/>
      <c r="AR121" s="38"/>
      <c r="AS121" s="38"/>
      <c r="AT121" s="38"/>
      <c r="AU121" s="38"/>
      <c r="AV121" s="38"/>
      <c r="AW121" s="38"/>
    </row>
    <row r="122" spans="1:49 16376:16376" s="6" customFormat="1" ht="35.5" hidden="1" customHeight="1" outlineLevel="1" x14ac:dyDescent="0.35">
      <c r="A122" s="57" t="s">
        <v>148</v>
      </c>
      <c r="B122" s="20"/>
      <c r="C122" s="38"/>
      <c r="D122" s="58"/>
      <c r="E122" s="58"/>
      <c r="F122" s="58"/>
      <c r="G122" s="58"/>
      <c r="H122" s="20" t="s">
        <v>89</v>
      </c>
      <c r="I122" s="38">
        <v>1</v>
      </c>
      <c r="J122" s="58">
        <v>1500000</v>
      </c>
      <c r="K122" s="54">
        <f>J122/$B$2</f>
        <v>2286.7352585611557</v>
      </c>
      <c r="L122" s="58">
        <f t="shared" si="226"/>
        <v>1500000</v>
      </c>
      <c r="M122" s="58">
        <f t="shared" si="215"/>
        <v>2286.7352585611557</v>
      </c>
      <c r="N122" s="76"/>
      <c r="O122" s="76"/>
      <c r="P122" s="76">
        <f>M122</f>
        <v>2286.7352585611557</v>
      </c>
      <c r="Q122" s="58"/>
      <c r="R122" s="22">
        <f t="shared" si="216"/>
        <v>0</v>
      </c>
      <c r="S122" s="58"/>
      <c r="T122" s="22">
        <f t="shared" si="217"/>
        <v>0</v>
      </c>
      <c r="U122" s="22">
        <f t="shared" si="218"/>
        <v>0</v>
      </c>
      <c r="V122" s="20">
        <f t="shared" si="219"/>
        <v>0</v>
      </c>
      <c r="W122" s="58">
        <v>1199745</v>
      </c>
      <c r="X122" s="22">
        <f t="shared" si="220"/>
        <v>1828.9994618549692</v>
      </c>
      <c r="Y122" s="22">
        <f t="shared" si="227"/>
        <v>1199745</v>
      </c>
      <c r="Z122" s="22">
        <f t="shared" si="221"/>
        <v>1828.9994618549692</v>
      </c>
      <c r="AA122" s="22">
        <f>+L122-Y122</f>
        <v>300255</v>
      </c>
      <c r="AB122" s="22">
        <f t="shared" si="228"/>
        <v>457.73579670618653</v>
      </c>
      <c r="AC122" s="38"/>
      <c r="AD122" s="38"/>
      <c r="AE122" s="38">
        <f t="shared" ref="AE122:AE125" si="229">AB122</f>
        <v>457.73579670618653</v>
      </c>
      <c r="AF122" s="38"/>
      <c r="AG122" s="38"/>
      <c r="AH122" s="38"/>
      <c r="AI122" s="38"/>
      <c r="AJ122" s="38"/>
      <c r="AK122" s="38"/>
      <c r="AL122" s="38"/>
      <c r="AM122" s="117"/>
      <c r="AN122" s="38"/>
      <c r="AO122" s="38"/>
      <c r="AP122" s="38"/>
      <c r="AQ122" s="38"/>
      <c r="AR122" s="38"/>
      <c r="AS122" s="38"/>
      <c r="AT122" s="38"/>
      <c r="AU122" s="38"/>
      <c r="AV122" s="38"/>
      <c r="AW122" s="38"/>
    </row>
    <row r="123" spans="1:49 16376:16376" s="6" customFormat="1" ht="35.5" hidden="1" customHeight="1" outlineLevel="1" x14ac:dyDescent="0.35">
      <c r="A123" s="57" t="s">
        <v>149</v>
      </c>
      <c r="B123" s="20"/>
      <c r="C123" s="38"/>
      <c r="D123" s="58"/>
      <c r="E123" s="58"/>
      <c r="F123" s="58"/>
      <c r="G123" s="58"/>
      <c r="H123" s="20" t="s">
        <v>89</v>
      </c>
      <c r="I123" s="38">
        <v>1</v>
      </c>
      <c r="J123" s="58">
        <v>600000</v>
      </c>
      <c r="K123" s="54">
        <f>J123/$B$2</f>
        <v>914.69410342446224</v>
      </c>
      <c r="L123" s="58">
        <f t="shared" si="226"/>
        <v>600000</v>
      </c>
      <c r="M123" s="58">
        <f t="shared" si="215"/>
        <v>914.69410342446224</v>
      </c>
      <c r="N123" s="76"/>
      <c r="O123" s="76"/>
      <c r="P123" s="76">
        <f>M123</f>
        <v>914.69410342446224</v>
      </c>
      <c r="Q123" s="58"/>
      <c r="R123" s="22">
        <f t="shared" si="216"/>
        <v>0</v>
      </c>
      <c r="S123" s="58"/>
      <c r="T123" s="22">
        <f t="shared" si="217"/>
        <v>0</v>
      </c>
      <c r="U123" s="22">
        <f t="shared" si="218"/>
        <v>0</v>
      </c>
      <c r="V123" s="20">
        <f t="shared" si="219"/>
        <v>0</v>
      </c>
      <c r="W123" s="58">
        <v>535917</v>
      </c>
      <c r="X123" s="22">
        <f t="shared" si="220"/>
        <v>817.00019970821256</v>
      </c>
      <c r="Y123" s="22">
        <f t="shared" si="227"/>
        <v>535917</v>
      </c>
      <c r="Z123" s="22">
        <f t="shared" si="221"/>
        <v>817.00019970821256</v>
      </c>
      <c r="AA123" s="22">
        <f>+L123-Y123</f>
        <v>64083</v>
      </c>
      <c r="AB123" s="22">
        <f t="shared" si="228"/>
        <v>97.693903716249693</v>
      </c>
      <c r="AC123" s="38"/>
      <c r="AD123" s="38"/>
      <c r="AE123" s="38">
        <f t="shared" si="229"/>
        <v>97.693903716249693</v>
      </c>
      <c r="AF123" s="38"/>
      <c r="AG123" s="38"/>
      <c r="AH123" s="38"/>
      <c r="AI123" s="38"/>
      <c r="AJ123" s="38"/>
      <c r="AK123" s="38"/>
      <c r="AL123" s="38"/>
      <c r="AM123" s="117"/>
      <c r="AN123" s="38"/>
      <c r="AO123" s="38"/>
      <c r="AP123" s="38"/>
      <c r="AQ123" s="38"/>
      <c r="AR123" s="38"/>
      <c r="AS123" s="38"/>
      <c r="AT123" s="38"/>
      <c r="AU123" s="38"/>
      <c r="AV123" s="38"/>
      <c r="AW123" s="38"/>
    </row>
    <row r="124" spans="1:49 16376:16376" s="6" customFormat="1" ht="35.5" hidden="1" customHeight="1" outlineLevel="1" x14ac:dyDescent="0.35">
      <c r="A124" s="57" t="s">
        <v>150</v>
      </c>
      <c r="B124" s="20"/>
      <c r="C124" s="38"/>
      <c r="D124" s="58"/>
      <c r="E124" s="58"/>
      <c r="F124" s="58"/>
      <c r="G124" s="58"/>
      <c r="H124" s="20" t="s">
        <v>74</v>
      </c>
      <c r="I124" s="38">
        <v>8</v>
      </c>
      <c r="J124" s="58">
        <v>300000</v>
      </c>
      <c r="K124" s="54">
        <f>J124/$B$2</f>
        <v>457.34705171223112</v>
      </c>
      <c r="L124" s="58">
        <f t="shared" si="226"/>
        <v>2400000</v>
      </c>
      <c r="M124" s="58">
        <f t="shared" si="215"/>
        <v>3658.776413697849</v>
      </c>
      <c r="N124" s="76"/>
      <c r="O124" s="76"/>
      <c r="P124" s="76">
        <f>M124</f>
        <v>3658.776413697849</v>
      </c>
      <c r="Q124" s="58"/>
      <c r="R124" s="22">
        <f t="shared" si="216"/>
        <v>0</v>
      </c>
      <c r="S124" s="58"/>
      <c r="T124" s="22">
        <f t="shared" si="217"/>
        <v>0</v>
      </c>
      <c r="U124" s="22">
        <f t="shared" si="218"/>
        <v>0</v>
      </c>
      <c r="V124" s="20">
        <f t="shared" si="219"/>
        <v>0</v>
      </c>
      <c r="W124" s="58">
        <v>64939.743000000002</v>
      </c>
      <c r="X124" s="22">
        <f t="shared" si="220"/>
        <v>99</v>
      </c>
      <c r="Y124" s="22">
        <f t="shared" si="227"/>
        <v>64939.743000000002</v>
      </c>
      <c r="Z124" s="22">
        <f t="shared" si="221"/>
        <v>99</v>
      </c>
      <c r="AA124" s="22">
        <f>+L124-Y124</f>
        <v>2335060.2570000002</v>
      </c>
      <c r="AB124" s="22">
        <f t="shared" si="228"/>
        <v>3559.7764136978494</v>
      </c>
      <c r="AC124" s="38"/>
      <c r="AD124" s="38"/>
      <c r="AE124" s="38">
        <f t="shared" si="229"/>
        <v>3559.7764136978494</v>
      </c>
      <c r="AF124" s="81">
        <v>3658.776413697849</v>
      </c>
      <c r="AG124" s="38"/>
      <c r="AH124" s="38"/>
      <c r="AI124" s="38"/>
      <c r="AJ124" s="38"/>
      <c r="AK124" s="38"/>
      <c r="AL124" s="38"/>
      <c r="AM124" s="117"/>
      <c r="AN124" s="38"/>
      <c r="AO124" s="38"/>
      <c r="AP124" s="38"/>
      <c r="AQ124" s="38"/>
      <c r="AR124" s="38"/>
      <c r="AS124" s="38"/>
      <c r="AT124" s="38"/>
      <c r="AU124" s="38"/>
      <c r="AV124" s="38"/>
      <c r="AW124" s="38"/>
    </row>
    <row r="125" spans="1:49 16376:16376" s="6" customFormat="1" ht="35.5" hidden="1" customHeight="1" outlineLevel="1" x14ac:dyDescent="0.35">
      <c r="A125" s="57" t="s">
        <v>151</v>
      </c>
      <c r="B125" s="20"/>
      <c r="C125" s="38"/>
      <c r="D125" s="58"/>
      <c r="E125" s="58"/>
      <c r="F125" s="58"/>
      <c r="G125" s="58"/>
      <c r="H125" s="20" t="s">
        <v>89</v>
      </c>
      <c r="I125" s="38">
        <v>1</v>
      </c>
      <c r="J125" s="58">
        <v>10000000</v>
      </c>
      <c r="K125" s="54">
        <f>J125/$B$2</f>
        <v>15244.901723741039</v>
      </c>
      <c r="L125" s="58">
        <f t="shared" si="226"/>
        <v>10000000</v>
      </c>
      <c r="M125" s="58">
        <f t="shared" si="215"/>
        <v>15244.901723741039</v>
      </c>
      <c r="N125" s="76"/>
      <c r="O125" s="76"/>
      <c r="P125" s="76">
        <f>M125</f>
        <v>15244.901723741039</v>
      </c>
      <c r="Q125" s="58"/>
      <c r="R125" s="22">
        <f t="shared" si="216"/>
        <v>0</v>
      </c>
      <c r="S125" s="58"/>
      <c r="T125" s="22">
        <f t="shared" si="217"/>
        <v>0</v>
      </c>
      <c r="U125" s="22">
        <f t="shared" si="218"/>
        <v>0</v>
      </c>
      <c r="V125" s="20">
        <f t="shared" si="219"/>
        <v>0</v>
      </c>
      <c r="W125" s="58"/>
      <c r="X125" s="22">
        <f t="shared" si="220"/>
        <v>0</v>
      </c>
      <c r="Y125" s="22">
        <f t="shared" si="227"/>
        <v>0</v>
      </c>
      <c r="Z125" s="22">
        <f t="shared" si="221"/>
        <v>0</v>
      </c>
      <c r="AA125" s="22">
        <f>+L125-Y125</f>
        <v>10000000</v>
      </c>
      <c r="AB125" s="22">
        <f t="shared" si="228"/>
        <v>15244.901723741039</v>
      </c>
      <c r="AC125" s="38"/>
      <c r="AD125" s="38"/>
      <c r="AE125" s="38">
        <f t="shared" si="229"/>
        <v>15244.901723741039</v>
      </c>
      <c r="AF125" s="81">
        <v>15244.901723741039</v>
      </c>
      <c r="AG125" s="38"/>
      <c r="AH125" s="38"/>
      <c r="AI125" s="38"/>
      <c r="AJ125" s="38"/>
      <c r="AK125" s="38"/>
      <c r="AL125" s="38"/>
      <c r="AM125" s="117"/>
      <c r="AN125" s="38"/>
      <c r="AO125" s="38"/>
      <c r="AP125" s="38"/>
      <c r="AQ125" s="38"/>
      <c r="AR125" s="38"/>
      <c r="AS125" s="38"/>
      <c r="AT125" s="38"/>
      <c r="AU125" s="38"/>
      <c r="AV125" s="38"/>
      <c r="AW125" s="38"/>
    </row>
    <row r="126" spans="1:49 16376:16376" s="49" customFormat="1" ht="38.5" customHeight="1" collapsed="1" x14ac:dyDescent="0.35">
      <c r="A126" s="45" t="s">
        <v>152</v>
      </c>
      <c r="B126" s="47" t="s">
        <v>89</v>
      </c>
      <c r="C126" s="48">
        <v>1</v>
      </c>
      <c r="D126" s="48">
        <v>15245</v>
      </c>
      <c r="E126" s="48">
        <f>C126*D126</f>
        <v>15245</v>
      </c>
      <c r="F126" s="48">
        <f t="shared" ref="F126:F158" si="230">+E126*655.957</f>
        <v>10000064.465</v>
      </c>
      <c r="G126" s="48"/>
      <c r="H126" s="47" t="s">
        <v>89</v>
      </c>
      <c r="I126" s="48">
        <v>0</v>
      </c>
      <c r="J126" s="48">
        <v>0</v>
      </c>
      <c r="K126" s="48"/>
      <c r="L126" s="48">
        <f t="shared" si="226"/>
        <v>0</v>
      </c>
      <c r="M126" s="48">
        <f t="shared" si="215"/>
        <v>0</v>
      </c>
      <c r="N126" s="72"/>
      <c r="O126" s="72"/>
      <c r="P126" s="72"/>
      <c r="Q126" s="48"/>
      <c r="R126" s="18">
        <f t="shared" si="216"/>
        <v>0</v>
      </c>
      <c r="S126" s="48"/>
      <c r="T126" s="18">
        <f t="shared" si="217"/>
        <v>0</v>
      </c>
      <c r="U126" s="18">
        <f t="shared" si="218"/>
        <v>0</v>
      </c>
      <c r="V126" s="16">
        <f t="shared" si="219"/>
        <v>0</v>
      </c>
      <c r="W126" s="48"/>
      <c r="X126" s="18"/>
      <c r="Y126" s="18">
        <f t="shared" si="227"/>
        <v>0</v>
      </c>
      <c r="Z126" s="18"/>
      <c r="AA126" s="18"/>
      <c r="AB126" s="18"/>
      <c r="AC126" s="48"/>
      <c r="AD126" s="48"/>
      <c r="AE126" s="48"/>
      <c r="AF126" s="48"/>
      <c r="AG126" s="48"/>
      <c r="AH126" s="48"/>
      <c r="AI126" s="48"/>
      <c r="AJ126" s="21">
        <f>AB126-AF126</f>
        <v>0</v>
      </c>
      <c r="AK126" s="48"/>
      <c r="AL126" s="48"/>
      <c r="AM126" s="118"/>
      <c r="AN126" s="48"/>
      <c r="AO126" s="48"/>
      <c r="AP126" s="48"/>
      <c r="AQ126" s="48"/>
      <c r="AR126" s="48"/>
      <c r="AS126" s="48"/>
      <c r="AT126" s="48"/>
      <c r="AU126" s="48"/>
      <c r="AV126" s="48"/>
      <c r="AW126" s="48"/>
    </row>
    <row r="127" spans="1:49 16376:16376" s="49" customFormat="1" ht="38.5" customHeight="1" x14ac:dyDescent="0.35">
      <c r="A127" s="45" t="s">
        <v>153</v>
      </c>
      <c r="B127" s="47" t="s">
        <v>89</v>
      </c>
      <c r="C127" s="48">
        <v>3</v>
      </c>
      <c r="D127" s="48">
        <v>59455</v>
      </c>
      <c r="E127" s="48">
        <f>C127*D127</f>
        <v>178365</v>
      </c>
      <c r="F127" s="48">
        <f t="shared" si="230"/>
        <v>116999770.30499999</v>
      </c>
      <c r="G127" s="48"/>
      <c r="H127" s="47" t="s">
        <v>89</v>
      </c>
      <c r="I127" s="48">
        <v>0</v>
      </c>
      <c r="J127" s="48"/>
      <c r="K127" s="48"/>
      <c r="L127" s="48">
        <f t="shared" ref="L127:V127" si="231">SUM(L128:L133)</f>
        <v>308000000</v>
      </c>
      <c r="M127" s="48">
        <f t="shared" si="231"/>
        <v>469542.97309122403</v>
      </c>
      <c r="N127" s="72">
        <f>SUM(N128:N133)</f>
        <v>0</v>
      </c>
      <c r="O127" s="72">
        <f>SUM(O128:O133)</f>
        <v>469542.97309122403</v>
      </c>
      <c r="P127" s="72">
        <f>SUM(P128:P133)</f>
        <v>0</v>
      </c>
      <c r="Q127" s="48">
        <f t="shared" si="231"/>
        <v>31770987</v>
      </c>
      <c r="R127" s="48">
        <f t="shared" si="231"/>
        <v>48434.557448125408</v>
      </c>
      <c r="S127" s="48">
        <f t="shared" si="231"/>
        <v>68432332</v>
      </c>
      <c r="T127" s="48">
        <f t="shared" si="231"/>
        <v>104324.4176066419</v>
      </c>
      <c r="U127" s="48">
        <f t="shared" si="231"/>
        <v>100203319</v>
      </c>
      <c r="V127" s="48">
        <f t="shared" si="231"/>
        <v>152758.9750547673</v>
      </c>
      <c r="W127" s="48">
        <f t="shared" ref="W127:Z127" si="232">SUM(W128:W133)</f>
        <v>83590470</v>
      </c>
      <c r="X127" s="48">
        <f t="shared" si="232"/>
        <v>127432.85001913235</v>
      </c>
      <c r="Y127" s="48">
        <f t="shared" si="232"/>
        <v>183793789</v>
      </c>
      <c r="Z127" s="48">
        <f t="shared" si="232"/>
        <v>280191.82507389964</v>
      </c>
      <c r="AA127" s="48">
        <f>SUM(AA128:AA133)</f>
        <v>124206211</v>
      </c>
      <c r="AB127" s="48">
        <f>SUM(AB128:AB133)</f>
        <v>189351.1480173243</v>
      </c>
      <c r="AC127" s="48"/>
      <c r="AD127" s="48">
        <f>SUM(AD128:AD133)</f>
        <v>189351.1480173243</v>
      </c>
      <c r="AE127" s="48"/>
      <c r="AF127" s="48">
        <f>SUM(AF128:AF133)</f>
        <v>106333.18952309374</v>
      </c>
      <c r="AG127" s="48"/>
      <c r="AH127" s="48">
        <f>AF127</f>
        <v>106333.18952309374</v>
      </c>
      <c r="AI127" s="48"/>
      <c r="AJ127" s="17">
        <f>AB127-AF127</f>
        <v>83017.958494230566</v>
      </c>
      <c r="AK127" s="21">
        <f>AC127-AG127</f>
        <v>0</v>
      </c>
      <c r="AL127" s="17">
        <f>AD127-AH127</f>
        <v>83017.958494230566</v>
      </c>
      <c r="AM127" s="108">
        <f>AE127-AI127</f>
        <v>0</v>
      </c>
      <c r="AN127" s="21"/>
      <c r="AO127" s="21"/>
      <c r="AP127" s="21"/>
      <c r="AQ127" s="21"/>
      <c r="AR127" s="48"/>
      <c r="AS127" s="48"/>
      <c r="AT127" s="48"/>
      <c r="AU127" s="48"/>
      <c r="AV127" s="48"/>
      <c r="AW127" s="48"/>
    </row>
    <row r="128" spans="1:49 16376:16376" s="55" customFormat="1" ht="27.5" hidden="1" customHeight="1" outlineLevel="1" x14ac:dyDescent="0.35">
      <c r="A128" s="50" t="s">
        <v>154</v>
      </c>
      <c r="B128" s="42"/>
      <c r="C128" s="54"/>
      <c r="D128" s="54"/>
      <c r="E128" s="54"/>
      <c r="F128" s="54"/>
      <c r="G128" s="54"/>
      <c r="H128" s="42" t="s">
        <v>89</v>
      </c>
      <c r="I128" s="54">
        <v>3</v>
      </c>
      <c r="J128" s="54">
        <v>4000000</v>
      </c>
      <c r="K128" s="54">
        <f t="shared" ref="K128:K133" si="233">J128/$B$2</f>
        <v>6097.9606894964154</v>
      </c>
      <c r="L128" s="54">
        <f t="shared" si="226"/>
        <v>12000000</v>
      </c>
      <c r="M128" s="54">
        <f t="shared" si="215"/>
        <v>18293.882068489245</v>
      </c>
      <c r="N128" s="74"/>
      <c r="O128" s="74">
        <f>M128</f>
        <v>18293.882068489245</v>
      </c>
      <c r="P128" s="74"/>
      <c r="Q128" s="54"/>
      <c r="R128" s="22">
        <f t="shared" si="216"/>
        <v>0</v>
      </c>
      <c r="S128" s="54"/>
      <c r="T128" s="22">
        <f t="shared" si="217"/>
        <v>0</v>
      </c>
      <c r="U128" s="22">
        <f t="shared" si="218"/>
        <v>0</v>
      </c>
      <c r="V128" s="20">
        <f t="shared" si="219"/>
        <v>0</v>
      </c>
      <c r="W128" s="54">
        <v>5960190</v>
      </c>
      <c r="X128" s="22">
        <f t="shared" si="220"/>
        <v>9086.2510804824105</v>
      </c>
      <c r="Y128" s="22">
        <f t="shared" ref="Y128:Y133" si="234">+U128+W128</f>
        <v>5960190</v>
      </c>
      <c r="Z128" s="22">
        <f t="shared" si="221"/>
        <v>9086.2510804824105</v>
      </c>
      <c r="AA128" s="22">
        <f t="shared" ref="AA128:AA133" si="235">+L128-Y128</f>
        <v>6039810</v>
      </c>
      <c r="AB128" s="22">
        <f t="shared" ref="AB128:AB133" si="236">+AA128/655.957</f>
        <v>9207.6309880068366</v>
      </c>
      <c r="AC128" s="54"/>
      <c r="AD128" s="54">
        <f>AB128</f>
        <v>9207.6309880068366</v>
      </c>
      <c r="AE128" s="54"/>
      <c r="AF128" s="54">
        <v>6097.9606894964154</v>
      </c>
      <c r="AG128" s="54"/>
      <c r="AH128" s="54"/>
      <c r="AI128" s="54"/>
      <c r="AJ128" s="54"/>
      <c r="AK128" s="54"/>
      <c r="AL128" s="54"/>
      <c r="AM128" s="115"/>
      <c r="AN128" s="54"/>
      <c r="AO128" s="54"/>
      <c r="AP128" s="54"/>
      <c r="AQ128" s="54"/>
      <c r="AR128" s="54"/>
      <c r="AS128" s="54"/>
      <c r="AT128" s="54"/>
      <c r="AU128" s="54"/>
      <c r="AV128" s="54"/>
      <c r="AW128" s="54"/>
      <c r="XEV128" s="55">
        <f>SUM(I128:XEU128)</f>
        <v>34045564.449652955</v>
      </c>
    </row>
    <row r="129" spans="1:49 16376:16376" s="55" customFormat="1" ht="27.5" hidden="1" customHeight="1" outlineLevel="1" x14ac:dyDescent="0.35">
      <c r="A129" s="50" t="s">
        <v>155</v>
      </c>
      <c r="B129" s="42"/>
      <c r="C129" s="54"/>
      <c r="D129" s="54"/>
      <c r="E129" s="54"/>
      <c r="F129" s="54"/>
      <c r="G129" s="54"/>
      <c r="H129" s="42" t="s">
        <v>89</v>
      </c>
      <c r="I129" s="54">
        <v>5</v>
      </c>
      <c r="J129" s="54">
        <v>45000000</v>
      </c>
      <c r="K129" s="54">
        <f t="shared" si="233"/>
        <v>68602.057756834678</v>
      </c>
      <c r="L129" s="54">
        <f t="shared" si="226"/>
        <v>225000000</v>
      </c>
      <c r="M129" s="54">
        <f t="shared" si="215"/>
        <v>343010.28878417338</v>
      </c>
      <c r="N129" s="74"/>
      <c r="O129" s="74">
        <f>M129</f>
        <v>343010.28878417338</v>
      </c>
      <c r="P129" s="74"/>
      <c r="Q129" s="54">
        <v>31770987</v>
      </c>
      <c r="R129" s="22">
        <f t="shared" si="216"/>
        <v>48434.557448125408</v>
      </c>
      <c r="S129" s="54">
        <v>51932332</v>
      </c>
      <c r="T129" s="22">
        <f t="shared" si="217"/>
        <v>79170.329762469191</v>
      </c>
      <c r="U129" s="22">
        <f t="shared" si="218"/>
        <v>83703319</v>
      </c>
      <c r="V129" s="20">
        <f t="shared" si="219"/>
        <v>127604.88721059459</v>
      </c>
      <c r="W129" s="54">
        <v>46383713</v>
      </c>
      <c r="X129" s="22">
        <f t="shared" si="220"/>
        <v>70711.514626720964</v>
      </c>
      <c r="Y129" s="22">
        <f t="shared" si="234"/>
        <v>130087032</v>
      </c>
      <c r="Z129" s="22">
        <f t="shared" si="221"/>
        <v>198316.40183731556</v>
      </c>
      <c r="AA129" s="22">
        <f t="shared" si="235"/>
        <v>94912968</v>
      </c>
      <c r="AB129" s="22">
        <f t="shared" si="236"/>
        <v>144693.88694685779</v>
      </c>
      <c r="AC129" s="54"/>
      <c r="AD129" s="54">
        <f t="shared" ref="AD129:AD133" si="237">AB129</f>
        <v>144693.88694685779</v>
      </c>
      <c r="AE129" s="54"/>
      <c r="AF129" s="54">
        <v>68602.057756834678</v>
      </c>
      <c r="AG129" s="54"/>
      <c r="AH129" s="54"/>
      <c r="AI129" s="54"/>
      <c r="AJ129" s="54"/>
      <c r="AK129" s="54"/>
      <c r="AL129" s="54"/>
      <c r="AM129" s="115"/>
      <c r="AN129" s="54"/>
      <c r="AO129" s="54"/>
      <c r="AP129" s="54"/>
      <c r="AQ129" s="54"/>
      <c r="AR129" s="54"/>
      <c r="AS129" s="54"/>
      <c r="AT129" s="54"/>
      <c r="AU129" s="54"/>
      <c r="AV129" s="54"/>
      <c r="AW129" s="54"/>
      <c r="XEV129" s="55">
        <f>SUM(I129:XEU129)</f>
        <v>710427206.15786111</v>
      </c>
    </row>
    <row r="130" spans="1:49 16376:16376" s="6" customFormat="1" ht="27.5" hidden="1" customHeight="1" outlineLevel="1" collapsed="1" x14ac:dyDescent="0.35">
      <c r="A130" s="50" t="s">
        <v>156</v>
      </c>
      <c r="B130" s="20"/>
      <c r="C130" s="38"/>
      <c r="D130" s="58"/>
      <c r="E130" s="58"/>
      <c r="F130" s="58"/>
      <c r="G130" s="58"/>
      <c r="H130" s="20" t="s">
        <v>2</v>
      </c>
      <c r="I130" s="38">
        <v>1</v>
      </c>
      <c r="J130" s="58">
        <v>5000000</v>
      </c>
      <c r="K130" s="54">
        <f t="shared" si="233"/>
        <v>7622.4508618705195</v>
      </c>
      <c r="L130" s="58">
        <f>I130*J130</f>
        <v>5000000</v>
      </c>
      <c r="M130" s="58">
        <f>L130/$B$2</f>
        <v>7622.4508618705195</v>
      </c>
      <c r="N130" s="76"/>
      <c r="O130" s="76">
        <f>+M130</f>
        <v>7622.4508618705195</v>
      </c>
      <c r="P130" s="76"/>
      <c r="Q130" s="58"/>
      <c r="R130" s="22">
        <f t="shared" si="216"/>
        <v>0</v>
      </c>
      <c r="S130" s="58"/>
      <c r="T130" s="22">
        <f t="shared" si="217"/>
        <v>0</v>
      </c>
      <c r="U130" s="22">
        <f t="shared" si="218"/>
        <v>0</v>
      </c>
      <c r="V130" s="20">
        <f t="shared" si="219"/>
        <v>0</v>
      </c>
      <c r="W130" s="58"/>
      <c r="X130" s="22">
        <f t="shared" si="220"/>
        <v>0</v>
      </c>
      <c r="Y130" s="22">
        <f t="shared" si="234"/>
        <v>0</v>
      </c>
      <c r="Z130" s="22">
        <f t="shared" si="221"/>
        <v>0</v>
      </c>
      <c r="AA130" s="22">
        <f t="shared" si="235"/>
        <v>5000000</v>
      </c>
      <c r="AB130" s="22">
        <f t="shared" si="236"/>
        <v>7622.4508618705195</v>
      </c>
      <c r="AC130" s="38"/>
      <c r="AD130" s="54">
        <f t="shared" si="237"/>
        <v>7622.4508618705195</v>
      </c>
      <c r="AE130" s="38"/>
      <c r="AF130" s="38">
        <v>3811.2254309352597</v>
      </c>
      <c r="AG130" s="38"/>
      <c r="AH130" s="38"/>
      <c r="AI130" s="38"/>
      <c r="AJ130" s="38"/>
      <c r="AK130" s="38"/>
      <c r="AL130" s="38"/>
      <c r="AM130" s="117"/>
      <c r="AN130" s="38"/>
      <c r="AO130" s="38"/>
      <c r="AP130" s="38"/>
      <c r="AQ130" s="38"/>
      <c r="AR130" s="38"/>
      <c r="AS130" s="38"/>
      <c r="AT130" s="38"/>
      <c r="AU130" s="38"/>
      <c r="AV130" s="38"/>
      <c r="AW130" s="38"/>
    </row>
    <row r="131" spans="1:49 16376:16376" s="55" customFormat="1" ht="27.5" hidden="1" customHeight="1" outlineLevel="1" x14ac:dyDescent="0.35">
      <c r="A131" s="50" t="s">
        <v>157</v>
      </c>
      <c r="B131" s="42"/>
      <c r="C131" s="54"/>
      <c r="D131" s="54"/>
      <c r="E131" s="54"/>
      <c r="F131" s="54"/>
      <c r="G131" s="54"/>
      <c r="H131" s="42" t="s">
        <v>89</v>
      </c>
      <c r="I131" s="54">
        <v>8</v>
      </c>
      <c r="J131" s="54">
        <v>3000000</v>
      </c>
      <c r="K131" s="54">
        <f t="shared" si="233"/>
        <v>4573.4705171223113</v>
      </c>
      <c r="L131" s="54">
        <f t="shared" si="226"/>
        <v>24000000</v>
      </c>
      <c r="M131" s="54">
        <f t="shared" si="215"/>
        <v>36587.764136978491</v>
      </c>
      <c r="N131" s="74"/>
      <c r="O131" s="74">
        <f>M131</f>
        <v>36587.764136978491</v>
      </c>
      <c r="P131" s="74"/>
      <c r="Q131" s="54"/>
      <c r="R131" s="22">
        <f t="shared" si="216"/>
        <v>0</v>
      </c>
      <c r="S131" s="54">
        <v>6000000</v>
      </c>
      <c r="T131" s="22">
        <f t="shared" si="217"/>
        <v>9146.9410342446226</v>
      </c>
      <c r="U131" s="22">
        <f t="shared" si="218"/>
        <v>6000000</v>
      </c>
      <c r="V131" s="20">
        <f t="shared" si="219"/>
        <v>9146.9410342446226</v>
      </c>
      <c r="W131" s="54">
        <v>5601617</v>
      </c>
      <c r="X131" s="22">
        <f t="shared" si="220"/>
        <v>8539.6100659037111</v>
      </c>
      <c r="Y131" s="22">
        <f t="shared" si="234"/>
        <v>11601617</v>
      </c>
      <c r="Z131" s="22">
        <f t="shared" si="221"/>
        <v>17686.551100148332</v>
      </c>
      <c r="AA131" s="22">
        <f t="shared" si="235"/>
        <v>12398383</v>
      </c>
      <c r="AB131" s="22">
        <f t="shared" si="236"/>
        <v>18901.213036830159</v>
      </c>
      <c r="AC131" s="54"/>
      <c r="AD131" s="54">
        <f t="shared" si="237"/>
        <v>18901.213036830159</v>
      </c>
      <c r="AE131" s="54"/>
      <c r="AF131" s="54">
        <v>9146.9410342446226</v>
      </c>
      <c r="AG131" s="54"/>
      <c r="AH131" s="54"/>
      <c r="AI131" s="54"/>
      <c r="AJ131" s="54"/>
      <c r="AK131" s="54"/>
      <c r="AL131" s="54"/>
      <c r="AM131" s="115"/>
      <c r="AN131" s="54"/>
      <c r="AO131" s="54"/>
      <c r="AP131" s="54"/>
      <c r="AQ131" s="54"/>
      <c r="AR131" s="54"/>
      <c r="AS131" s="54"/>
      <c r="AT131" s="54"/>
      <c r="AU131" s="54"/>
      <c r="AV131" s="54"/>
      <c r="AW131" s="54"/>
      <c r="XEV131" s="55">
        <f>SUM(I131:XEU131)</f>
        <v>68770843.409133539</v>
      </c>
    </row>
    <row r="132" spans="1:49 16376:16376" s="55" customFormat="1" ht="27.5" hidden="1" customHeight="1" outlineLevel="1" x14ac:dyDescent="0.35">
      <c r="A132" s="50" t="s">
        <v>158</v>
      </c>
      <c r="B132" s="42"/>
      <c r="C132" s="54"/>
      <c r="D132" s="54"/>
      <c r="E132" s="54"/>
      <c r="F132" s="54"/>
      <c r="G132" s="54"/>
      <c r="H132" s="42" t="s">
        <v>89</v>
      </c>
      <c r="I132" s="54">
        <v>4</v>
      </c>
      <c r="J132" s="54">
        <v>3500000</v>
      </c>
      <c r="K132" s="54">
        <f t="shared" si="233"/>
        <v>5335.7156033093634</v>
      </c>
      <c r="L132" s="54">
        <f t="shared" si="226"/>
        <v>14000000</v>
      </c>
      <c r="M132" s="54">
        <f t="shared" si="215"/>
        <v>21342.862413237453</v>
      </c>
      <c r="N132" s="74"/>
      <c r="O132" s="74">
        <f>M132</f>
        <v>21342.862413237453</v>
      </c>
      <c r="P132" s="74"/>
      <c r="Q132" s="54"/>
      <c r="R132" s="22">
        <f t="shared" si="216"/>
        <v>0</v>
      </c>
      <c r="S132" s="54">
        <v>3500000</v>
      </c>
      <c r="T132" s="22">
        <f t="shared" si="217"/>
        <v>5335.7156033093634</v>
      </c>
      <c r="U132" s="22">
        <f t="shared" si="218"/>
        <v>3500000</v>
      </c>
      <c r="V132" s="20">
        <f t="shared" si="219"/>
        <v>5335.7156033093634</v>
      </c>
      <c r="W132" s="54">
        <v>11647350</v>
      </c>
      <c r="X132" s="22">
        <f t="shared" si="220"/>
        <v>17756.270609201518</v>
      </c>
      <c r="Y132" s="22">
        <f t="shared" si="234"/>
        <v>15147350</v>
      </c>
      <c r="Z132" s="22">
        <f t="shared" si="221"/>
        <v>23091.986212510881</v>
      </c>
      <c r="AA132" s="22">
        <f t="shared" si="235"/>
        <v>-1147350</v>
      </c>
      <c r="AB132" s="22">
        <f t="shared" si="236"/>
        <v>-1749.1237992734279</v>
      </c>
      <c r="AC132" s="54"/>
      <c r="AD132" s="54">
        <f t="shared" si="237"/>
        <v>-1749.1237992734279</v>
      </c>
      <c r="AE132" s="54"/>
      <c r="AF132" s="54">
        <v>8003.573404964045</v>
      </c>
      <c r="AG132" s="54"/>
      <c r="AH132" s="54"/>
      <c r="AI132" s="54"/>
      <c r="AJ132" s="54"/>
      <c r="AK132" s="54"/>
      <c r="AL132" s="54"/>
      <c r="AM132" s="115"/>
      <c r="AN132" s="54"/>
      <c r="AO132" s="54"/>
      <c r="AP132" s="54"/>
      <c r="AQ132" s="54"/>
      <c r="AR132" s="54"/>
      <c r="AS132" s="54"/>
      <c r="AT132" s="54"/>
      <c r="AU132" s="54"/>
      <c r="AV132" s="54"/>
      <c r="AW132" s="54"/>
      <c r="XEV132" s="55">
        <f>SUM(I132:XEU132)</f>
        <v>50251400.454264536</v>
      </c>
    </row>
    <row r="133" spans="1:49 16376:16376" s="55" customFormat="1" ht="27.5" hidden="1" customHeight="1" outlineLevel="1" x14ac:dyDescent="0.35">
      <c r="A133" s="50" t="s">
        <v>159</v>
      </c>
      <c r="B133" s="42"/>
      <c r="C133" s="54"/>
      <c r="D133" s="54"/>
      <c r="E133" s="54"/>
      <c r="F133" s="54"/>
      <c r="G133" s="54"/>
      <c r="H133" s="42" t="s">
        <v>89</v>
      </c>
      <c r="I133" s="54">
        <v>4</v>
      </c>
      <c r="J133" s="54">
        <v>7000000</v>
      </c>
      <c r="K133" s="54">
        <f t="shared" si="233"/>
        <v>10671.431206618727</v>
      </c>
      <c r="L133" s="54">
        <f t="shared" si="226"/>
        <v>28000000</v>
      </c>
      <c r="M133" s="54">
        <f t="shared" si="215"/>
        <v>42685.724826474907</v>
      </c>
      <c r="N133" s="74"/>
      <c r="O133" s="74">
        <f>M133</f>
        <v>42685.724826474907</v>
      </c>
      <c r="P133" s="74"/>
      <c r="Q133" s="54"/>
      <c r="R133" s="22">
        <f t="shared" si="216"/>
        <v>0</v>
      </c>
      <c r="S133" s="54">
        <v>7000000</v>
      </c>
      <c r="T133" s="22">
        <f t="shared" si="217"/>
        <v>10671.431206618727</v>
      </c>
      <c r="U133" s="22">
        <f t="shared" si="218"/>
        <v>7000000</v>
      </c>
      <c r="V133" s="20">
        <f t="shared" si="219"/>
        <v>10671.431206618727</v>
      </c>
      <c r="W133" s="54">
        <v>13997600</v>
      </c>
      <c r="X133" s="22">
        <f t="shared" si="220"/>
        <v>21339.203636823757</v>
      </c>
      <c r="Y133" s="22">
        <f t="shared" si="234"/>
        <v>20997600</v>
      </c>
      <c r="Z133" s="22">
        <f t="shared" si="221"/>
        <v>32010.634843442484</v>
      </c>
      <c r="AA133" s="22">
        <f t="shared" si="235"/>
        <v>7002400</v>
      </c>
      <c r="AB133" s="22">
        <f t="shared" si="236"/>
        <v>10675.089983032425</v>
      </c>
      <c r="AC133" s="54"/>
      <c r="AD133" s="54">
        <f t="shared" si="237"/>
        <v>10675.089983032425</v>
      </c>
      <c r="AE133" s="54"/>
      <c r="AF133" s="54">
        <v>10671.431206618727</v>
      </c>
      <c r="AG133" s="54"/>
      <c r="AH133" s="54"/>
      <c r="AI133" s="54"/>
      <c r="AJ133" s="54"/>
      <c r="AK133" s="54"/>
      <c r="AL133" s="54"/>
      <c r="AM133" s="115"/>
      <c r="AN133" s="54"/>
      <c r="AO133" s="54"/>
      <c r="AP133" s="54"/>
      <c r="AQ133" s="54"/>
      <c r="AR133" s="54"/>
      <c r="AS133" s="54"/>
      <c r="AT133" s="54"/>
      <c r="AU133" s="54"/>
      <c r="AV133" s="54"/>
      <c r="AW133" s="54"/>
      <c r="XEV133" s="55">
        <f>SUM(I133:XEU133)</f>
        <v>91200361.192925751</v>
      </c>
    </row>
    <row r="134" spans="1:49 16376:16376" s="49" customFormat="1" ht="27.5" customHeight="1" collapsed="1" x14ac:dyDescent="0.35">
      <c r="A134" s="45" t="s">
        <v>160</v>
      </c>
      <c r="B134" s="47"/>
      <c r="C134" s="48"/>
      <c r="D134" s="48"/>
      <c r="E134" s="48"/>
      <c r="F134" s="48"/>
      <c r="G134" s="48"/>
      <c r="H134" s="47" t="s">
        <v>89</v>
      </c>
      <c r="I134" s="48"/>
      <c r="J134" s="48"/>
      <c r="K134" s="48"/>
      <c r="L134" s="48">
        <f>SUM(L135:L140)</f>
        <v>69915000</v>
      </c>
      <c r="M134" s="48">
        <f>SUM(M135:M140)</f>
        <v>106584.73040153547</v>
      </c>
      <c r="N134" s="72">
        <f>SUM(N135:N139)</f>
        <v>0</v>
      </c>
      <c r="O134" s="72">
        <f>SUM(O135:O139)</f>
        <v>0</v>
      </c>
      <c r="P134" s="72">
        <f>SUM(P135:P140)</f>
        <v>106584.73040153547</v>
      </c>
      <c r="Q134" s="48">
        <f t="shared" ref="Q134:AB134" si="238">SUM(Q135:Q140)</f>
        <v>0</v>
      </c>
      <c r="R134" s="48">
        <f t="shared" si="238"/>
        <v>0</v>
      </c>
      <c r="S134" s="48">
        <f t="shared" si="238"/>
        <v>0</v>
      </c>
      <c r="T134" s="48">
        <f t="shared" si="238"/>
        <v>0</v>
      </c>
      <c r="U134" s="48">
        <f t="shared" si="238"/>
        <v>0</v>
      </c>
      <c r="V134" s="48">
        <f t="shared" si="238"/>
        <v>0</v>
      </c>
      <c r="W134" s="48">
        <f t="shared" si="238"/>
        <v>29391465.299000002</v>
      </c>
      <c r="X134" s="48">
        <f t="shared" si="238"/>
        <v>44807</v>
      </c>
      <c r="Y134" s="48">
        <f t="shared" si="238"/>
        <v>29391465.299000002</v>
      </c>
      <c r="Z134" s="48">
        <f t="shared" si="238"/>
        <v>44807</v>
      </c>
      <c r="AA134" s="48">
        <f t="shared" si="238"/>
        <v>40523534.700999998</v>
      </c>
      <c r="AB134" s="48">
        <f t="shared" si="238"/>
        <v>61777.730401535468</v>
      </c>
      <c r="AC134" s="48"/>
      <c r="AD134" s="48"/>
      <c r="AE134" s="48">
        <f t="shared" ref="AE134" si="239">SUM(AE135:AE140)</f>
        <v>61777.730401535468</v>
      </c>
      <c r="AF134" s="48">
        <f>SUM(AF135:AF142)</f>
        <v>35673.070033554024</v>
      </c>
      <c r="AG134" s="48"/>
      <c r="AH134" s="48"/>
      <c r="AI134" s="48">
        <f>AF134</f>
        <v>35673.070033554024</v>
      </c>
      <c r="AJ134" s="17">
        <f>AB134-AF134</f>
        <v>26104.660367981443</v>
      </c>
      <c r="AK134" s="21">
        <f>AC134-AG134</f>
        <v>0</v>
      </c>
      <c r="AL134" s="21">
        <f>AD134-AH134</f>
        <v>0</v>
      </c>
      <c r="AM134" s="113">
        <f>AE134-AI134</f>
        <v>26104.660367981443</v>
      </c>
      <c r="AN134" s="17"/>
      <c r="AO134" s="17"/>
      <c r="AP134" s="17"/>
      <c r="AQ134" s="17"/>
      <c r="AR134" s="48"/>
      <c r="AS134" s="48"/>
      <c r="AT134" s="48"/>
      <c r="AU134" s="48"/>
      <c r="AV134" s="48"/>
      <c r="AW134" s="48"/>
    </row>
    <row r="135" spans="1:49 16376:16376" s="55" customFormat="1" ht="27.5" hidden="1" customHeight="1" outlineLevel="1" x14ac:dyDescent="0.35">
      <c r="A135" s="50" t="s">
        <v>161</v>
      </c>
      <c r="B135" s="42"/>
      <c r="C135" s="54"/>
      <c r="D135" s="54"/>
      <c r="E135" s="54"/>
      <c r="F135" s="54"/>
      <c r="G135" s="54"/>
      <c r="H135" s="42" t="s">
        <v>89</v>
      </c>
      <c r="I135" s="54">
        <v>1</v>
      </c>
      <c r="J135" s="54">
        <v>500000</v>
      </c>
      <c r="K135" s="54">
        <f t="shared" ref="K135:K145" si="240">J135/$B$2</f>
        <v>762.24508618705192</v>
      </c>
      <c r="L135" s="54">
        <f t="shared" ref="L135:L139" si="241">I135*J135</f>
        <v>500000</v>
      </c>
      <c r="M135" s="54">
        <f t="shared" ref="M135:M148" si="242">+L135/655.957</f>
        <v>762.24508618705192</v>
      </c>
      <c r="N135" s="74"/>
      <c r="O135" s="74"/>
      <c r="P135" s="74">
        <f>M135</f>
        <v>762.24508618705192</v>
      </c>
      <c r="Q135" s="54"/>
      <c r="R135" s="22">
        <f t="shared" si="216"/>
        <v>0</v>
      </c>
      <c r="S135" s="54"/>
      <c r="T135" s="22">
        <f t="shared" si="217"/>
        <v>0</v>
      </c>
      <c r="U135" s="22">
        <f t="shared" si="218"/>
        <v>0</v>
      </c>
      <c r="V135" s="20">
        <f t="shared" si="219"/>
        <v>0</v>
      </c>
      <c r="W135" s="54"/>
      <c r="X135" s="22">
        <f t="shared" si="220"/>
        <v>0</v>
      </c>
      <c r="Y135" s="22">
        <f t="shared" ref="Y135:Y145" si="243">+U135+W135</f>
        <v>0</v>
      </c>
      <c r="Z135" s="22">
        <f t="shared" si="221"/>
        <v>0</v>
      </c>
      <c r="AA135" s="22">
        <f t="shared" ref="AA135:AA140" si="244">+L135-Y135</f>
        <v>500000</v>
      </c>
      <c r="AB135" s="22">
        <f t="shared" ref="AB135:AB148" si="245">+AA135/655.957</f>
        <v>762.24508618705192</v>
      </c>
      <c r="AC135" s="54"/>
      <c r="AD135" s="54"/>
      <c r="AE135" s="54">
        <f>AB135</f>
        <v>762.24508618705192</v>
      </c>
      <c r="AF135" s="54"/>
      <c r="AG135" s="54"/>
      <c r="AH135" s="54"/>
      <c r="AI135" s="54"/>
      <c r="AJ135" s="54"/>
      <c r="AK135" s="54"/>
      <c r="AL135" s="54"/>
      <c r="AM135" s="115"/>
      <c r="AN135" s="54"/>
      <c r="AO135" s="54"/>
      <c r="AP135" s="54"/>
      <c r="AQ135" s="54"/>
      <c r="AR135" s="54"/>
      <c r="AS135" s="54"/>
      <c r="AT135" s="54"/>
      <c r="AU135" s="54"/>
      <c r="AV135" s="54"/>
      <c r="AW135" s="54"/>
    </row>
    <row r="136" spans="1:49 16376:16376" s="55" customFormat="1" ht="27.5" hidden="1" customHeight="1" outlineLevel="1" x14ac:dyDescent="0.35">
      <c r="A136" s="50" t="s">
        <v>162</v>
      </c>
      <c r="B136" s="42"/>
      <c r="C136" s="54"/>
      <c r="D136" s="54"/>
      <c r="E136" s="54"/>
      <c r="F136" s="54"/>
      <c r="G136" s="54"/>
      <c r="H136" s="42" t="s">
        <v>89</v>
      </c>
      <c r="I136" s="54">
        <v>1</v>
      </c>
      <c r="J136" s="54">
        <v>1815000</v>
      </c>
      <c r="K136" s="54">
        <f t="shared" si="240"/>
        <v>2766.9496628589982</v>
      </c>
      <c r="L136" s="54">
        <f t="shared" si="241"/>
        <v>1815000</v>
      </c>
      <c r="M136" s="54">
        <f t="shared" si="242"/>
        <v>2766.9496628589982</v>
      </c>
      <c r="N136" s="74"/>
      <c r="O136" s="74"/>
      <c r="P136" s="74">
        <f>M136</f>
        <v>2766.9496628589982</v>
      </c>
      <c r="Q136" s="54"/>
      <c r="R136" s="22">
        <f t="shared" si="216"/>
        <v>0</v>
      </c>
      <c r="S136" s="54"/>
      <c r="T136" s="22">
        <f t="shared" si="217"/>
        <v>0</v>
      </c>
      <c r="U136" s="22">
        <f t="shared" si="218"/>
        <v>0</v>
      </c>
      <c r="V136" s="20">
        <f t="shared" si="219"/>
        <v>0</v>
      </c>
      <c r="W136" s="54">
        <v>453266.28700000001</v>
      </c>
      <c r="X136" s="22">
        <f t="shared" si="220"/>
        <v>691</v>
      </c>
      <c r="Y136" s="22">
        <f t="shared" si="243"/>
        <v>453266.28700000001</v>
      </c>
      <c r="Z136" s="22">
        <f t="shared" si="221"/>
        <v>691</v>
      </c>
      <c r="AA136" s="22">
        <f t="shared" si="244"/>
        <v>1361733.713</v>
      </c>
      <c r="AB136" s="22">
        <f t="shared" si="245"/>
        <v>2075.9496628589982</v>
      </c>
      <c r="AC136" s="54"/>
      <c r="AD136" s="54"/>
      <c r="AE136" s="54">
        <f t="shared" ref="AE136:AE140" si="246">AB136</f>
        <v>2075.9496628589982</v>
      </c>
      <c r="AF136" s="54"/>
      <c r="AG136" s="54"/>
      <c r="AH136" s="54"/>
      <c r="AI136" s="54"/>
      <c r="AJ136" s="54"/>
      <c r="AK136" s="54"/>
      <c r="AL136" s="54"/>
      <c r="AM136" s="115"/>
      <c r="AN136" s="54"/>
      <c r="AO136" s="54"/>
      <c r="AP136" s="54"/>
      <c r="AQ136" s="54"/>
      <c r="AR136" s="54"/>
      <c r="AS136" s="54"/>
      <c r="AT136" s="54"/>
      <c r="AU136" s="54"/>
      <c r="AV136" s="54"/>
      <c r="AW136" s="54"/>
    </row>
    <row r="137" spans="1:49 16376:16376" s="55" customFormat="1" ht="27.5" hidden="1" customHeight="1" outlineLevel="1" x14ac:dyDescent="0.35">
      <c r="A137" s="50" t="s">
        <v>163</v>
      </c>
      <c r="B137" s="42"/>
      <c r="C137" s="54"/>
      <c r="D137" s="54"/>
      <c r="E137" s="54"/>
      <c r="F137" s="54"/>
      <c r="G137" s="54"/>
      <c r="H137" s="42" t="s">
        <v>89</v>
      </c>
      <c r="I137" s="54">
        <v>1</v>
      </c>
      <c r="J137" s="54">
        <v>33000000</v>
      </c>
      <c r="K137" s="54">
        <f t="shared" si="240"/>
        <v>50308.175688345429</v>
      </c>
      <c r="L137" s="54">
        <f t="shared" si="241"/>
        <v>33000000</v>
      </c>
      <c r="M137" s="54">
        <f t="shared" si="242"/>
        <v>50308.175688345429</v>
      </c>
      <c r="N137" s="74"/>
      <c r="O137" s="74"/>
      <c r="P137" s="74">
        <f>M137</f>
        <v>50308.175688345429</v>
      </c>
      <c r="Q137" s="54"/>
      <c r="R137" s="22">
        <f t="shared" si="216"/>
        <v>0</v>
      </c>
      <c r="S137" s="54"/>
      <c r="T137" s="22">
        <f t="shared" si="217"/>
        <v>0</v>
      </c>
      <c r="U137" s="22">
        <f t="shared" si="218"/>
        <v>0</v>
      </c>
      <c r="V137" s="20">
        <f t="shared" si="219"/>
        <v>0</v>
      </c>
      <c r="W137" s="54">
        <v>16981414.816</v>
      </c>
      <c r="X137" s="22">
        <f t="shared" si="220"/>
        <v>25888</v>
      </c>
      <c r="Y137" s="22">
        <f t="shared" si="243"/>
        <v>16981414.816</v>
      </c>
      <c r="Z137" s="22">
        <f t="shared" si="221"/>
        <v>25888</v>
      </c>
      <c r="AA137" s="22">
        <f t="shared" si="244"/>
        <v>16018585.184</v>
      </c>
      <c r="AB137" s="22">
        <f t="shared" si="245"/>
        <v>24420.175688345425</v>
      </c>
      <c r="AC137" s="54"/>
      <c r="AD137" s="54"/>
      <c r="AE137" s="54">
        <f t="shared" si="246"/>
        <v>24420.175688345425</v>
      </c>
      <c r="AF137" s="54"/>
      <c r="AG137" s="54"/>
      <c r="AH137" s="54"/>
      <c r="AI137" s="54"/>
      <c r="AJ137" s="54"/>
      <c r="AK137" s="54"/>
      <c r="AL137" s="54"/>
      <c r="AM137" s="115"/>
      <c r="AN137" s="54"/>
      <c r="AO137" s="54"/>
      <c r="AP137" s="54"/>
      <c r="AQ137" s="54"/>
      <c r="AR137" s="54"/>
      <c r="AS137" s="54"/>
      <c r="AT137" s="54"/>
      <c r="AU137" s="54"/>
      <c r="AV137" s="54"/>
      <c r="AW137" s="54"/>
    </row>
    <row r="138" spans="1:49 16376:16376" s="55" customFormat="1" ht="27.5" hidden="1" customHeight="1" outlineLevel="1" x14ac:dyDescent="0.35">
      <c r="A138" s="50" t="s">
        <v>164</v>
      </c>
      <c r="B138" s="42"/>
      <c r="C138" s="54"/>
      <c r="D138" s="54"/>
      <c r="E138" s="54"/>
      <c r="F138" s="54"/>
      <c r="G138" s="54"/>
      <c r="H138" s="42" t="s">
        <v>89</v>
      </c>
      <c r="I138" s="54">
        <v>1</v>
      </c>
      <c r="J138" s="54">
        <v>4600000</v>
      </c>
      <c r="K138" s="54">
        <f t="shared" si="240"/>
        <v>7012.6547929208773</v>
      </c>
      <c r="L138" s="54">
        <f t="shared" si="241"/>
        <v>4600000</v>
      </c>
      <c r="M138" s="54">
        <f t="shared" si="242"/>
        <v>7012.6547929208773</v>
      </c>
      <c r="N138" s="74"/>
      <c r="O138" s="74"/>
      <c r="P138" s="74">
        <f>M138</f>
        <v>7012.6547929208773</v>
      </c>
      <c r="Q138" s="54"/>
      <c r="R138" s="22">
        <f t="shared" si="216"/>
        <v>0</v>
      </c>
      <c r="S138" s="54"/>
      <c r="T138" s="22">
        <f t="shared" si="217"/>
        <v>0</v>
      </c>
      <c r="U138" s="22">
        <f t="shared" si="218"/>
        <v>0</v>
      </c>
      <c r="V138" s="20">
        <f t="shared" si="219"/>
        <v>0</v>
      </c>
      <c r="W138" s="54">
        <v>2344390.318</v>
      </c>
      <c r="X138" s="22">
        <f t="shared" si="220"/>
        <v>3574</v>
      </c>
      <c r="Y138" s="22">
        <f t="shared" si="243"/>
        <v>2344390.318</v>
      </c>
      <c r="Z138" s="22">
        <f t="shared" si="221"/>
        <v>3574</v>
      </c>
      <c r="AA138" s="22">
        <f t="shared" si="244"/>
        <v>2255609.682</v>
      </c>
      <c r="AB138" s="22">
        <f t="shared" si="245"/>
        <v>3438.6547929208773</v>
      </c>
      <c r="AC138" s="54"/>
      <c r="AD138" s="54"/>
      <c r="AE138" s="54">
        <f t="shared" si="246"/>
        <v>3438.6547929208773</v>
      </c>
      <c r="AF138" s="54"/>
      <c r="AG138" s="54"/>
      <c r="AH138" s="54"/>
      <c r="AI138" s="54"/>
      <c r="AJ138" s="54"/>
      <c r="AK138" s="54"/>
      <c r="AL138" s="54"/>
      <c r="AM138" s="115"/>
      <c r="AN138" s="54"/>
      <c r="AO138" s="54"/>
      <c r="AP138" s="54"/>
      <c r="AQ138" s="54"/>
      <c r="AR138" s="54"/>
      <c r="AS138" s="54"/>
      <c r="AT138" s="54"/>
      <c r="AU138" s="54"/>
      <c r="AV138" s="54"/>
      <c r="AW138" s="54"/>
    </row>
    <row r="139" spans="1:49 16376:16376" s="55" customFormat="1" ht="27.5" hidden="1" customHeight="1" outlineLevel="1" x14ac:dyDescent="0.35">
      <c r="A139" s="50" t="s">
        <v>165</v>
      </c>
      <c r="B139" s="42"/>
      <c r="C139" s="54"/>
      <c r="D139" s="54"/>
      <c r="E139" s="54"/>
      <c r="F139" s="54"/>
      <c r="G139" s="54"/>
      <c r="H139" s="42" t="s">
        <v>89</v>
      </c>
      <c r="I139" s="54">
        <v>1</v>
      </c>
      <c r="J139" s="54">
        <v>10000000</v>
      </c>
      <c r="K139" s="54">
        <f t="shared" si="240"/>
        <v>15244.901723741039</v>
      </c>
      <c r="L139" s="54">
        <f t="shared" si="241"/>
        <v>10000000</v>
      </c>
      <c r="M139" s="54">
        <f t="shared" si="242"/>
        <v>15244.901723741039</v>
      </c>
      <c r="N139" s="74"/>
      <c r="O139" s="74"/>
      <c r="P139" s="74">
        <f>M139</f>
        <v>15244.901723741039</v>
      </c>
      <c r="Q139" s="54"/>
      <c r="R139" s="22">
        <f t="shared" si="216"/>
        <v>0</v>
      </c>
      <c r="S139" s="54"/>
      <c r="T139" s="22">
        <f t="shared" si="217"/>
        <v>0</v>
      </c>
      <c r="U139" s="22">
        <f t="shared" si="218"/>
        <v>0</v>
      </c>
      <c r="V139" s="20">
        <f t="shared" si="219"/>
        <v>0</v>
      </c>
      <c r="W139" s="54"/>
      <c r="X139" s="22">
        <f t="shared" si="220"/>
        <v>0</v>
      </c>
      <c r="Y139" s="22">
        <f t="shared" si="243"/>
        <v>0</v>
      </c>
      <c r="Z139" s="22">
        <f t="shared" si="221"/>
        <v>0</v>
      </c>
      <c r="AA139" s="22">
        <f t="shared" si="244"/>
        <v>10000000</v>
      </c>
      <c r="AB139" s="22">
        <f t="shared" si="245"/>
        <v>15244.901723741039</v>
      </c>
      <c r="AC139" s="54"/>
      <c r="AD139" s="54"/>
      <c r="AE139" s="54">
        <f t="shared" si="246"/>
        <v>15244.901723741039</v>
      </c>
      <c r="AF139" s="54">
        <v>7622.4508618705195</v>
      </c>
      <c r="AG139" s="54"/>
      <c r="AH139" s="54"/>
      <c r="AI139" s="54"/>
      <c r="AJ139" s="54"/>
      <c r="AK139" s="54"/>
      <c r="AL139" s="54"/>
      <c r="AM139" s="115"/>
      <c r="AN139" s="54"/>
      <c r="AO139" s="54"/>
      <c r="AP139" s="54"/>
      <c r="AQ139" s="54"/>
      <c r="AR139" s="54"/>
      <c r="AS139" s="54"/>
      <c r="AT139" s="54"/>
      <c r="AU139" s="54"/>
      <c r="AV139" s="54"/>
      <c r="AW139" s="54"/>
    </row>
    <row r="140" spans="1:49 16376:16376" s="53" customFormat="1" ht="39" hidden="1" customHeight="1" outlineLevel="1" collapsed="1" x14ac:dyDescent="0.35">
      <c r="A140" s="50" t="s">
        <v>166</v>
      </c>
      <c r="B140" s="42" t="s">
        <v>104</v>
      </c>
      <c r="C140" s="54"/>
      <c r="D140" s="54"/>
      <c r="E140" s="54"/>
      <c r="F140" s="54"/>
      <c r="G140" s="54"/>
      <c r="H140" s="42" t="s">
        <v>89</v>
      </c>
      <c r="I140" s="54">
        <v>1</v>
      </c>
      <c r="J140" s="54">
        <v>20000000</v>
      </c>
      <c r="K140" s="54">
        <f t="shared" si="240"/>
        <v>30489.803447482078</v>
      </c>
      <c r="L140" s="54">
        <f>I140*J140</f>
        <v>20000000</v>
      </c>
      <c r="M140" s="54">
        <f t="shared" si="242"/>
        <v>30489.803447482078</v>
      </c>
      <c r="N140" s="74"/>
      <c r="O140" s="74" t="s">
        <v>2</v>
      </c>
      <c r="P140" s="74">
        <f>+M140</f>
        <v>30489.803447482078</v>
      </c>
      <c r="Q140" s="54"/>
      <c r="R140" s="22">
        <f t="shared" si="216"/>
        <v>0</v>
      </c>
      <c r="S140" s="54"/>
      <c r="T140" s="22">
        <f t="shared" si="217"/>
        <v>0</v>
      </c>
      <c r="U140" s="22">
        <f t="shared" si="218"/>
        <v>0</v>
      </c>
      <c r="V140" s="20">
        <f t="shared" si="219"/>
        <v>0</v>
      </c>
      <c r="W140" s="54">
        <v>9612393.8780000005</v>
      </c>
      <c r="X140" s="22">
        <f t="shared" si="220"/>
        <v>14654</v>
      </c>
      <c r="Y140" s="22">
        <f t="shared" si="243"/>
        <v>9612393.8780000005</v>
      </c>
      <c r="Z140" s="22">
        <f t="shared" si="221"/>
        <v>14654</v>
      </c>
      <c r="AA140" s="22">
        <f t="shared" si="244"/>
        <v>10387606.122</v>
      </c>
      <c r="AB140" s="22">
        <f t="shared" si="245"/>
        <v>15835.803447482076</v>
      </c>
      <c r="AC140" s="51"/>
      <c r="AD140" s="51"/>
      <c r="AE140" s="54">
        <f t="shared" si="246"/>
        <v>15835.803447482076</v>
      </c>
      <c r="AF140" s="51">
        <v>0</v>
      </c>
      <c r="AG140" s="51"/>
      <c r="AH140" s="51"/>
      <c r="AI140" s="51"/>
      <c r="AJ140" s="51"/>
      <c r="AK140" s="51"/>
      <c r="AL140" s="51"/>
      <c r="AM140" s="114"/>
      <c r="AN140" s="51"/>
      <c r="AO140" s="51"/>
      <c r="AP140" s="51"/>
      <c r="AQ140" s="51"/>
      <c r="AR140" s="51"/>
      <c r="AS140" s="51"/>
      <c r="AT140" s="51"/>
      <c r="AU140" s="51"/>
      <c r="AV140" s="51"/>
      <c r="AW140" s="51"/>
    </row>
    <row r="141" spans="1:49 16376:16376" s="53" customFormat="1" ht="39" hidden="1" customHeight="1" outlineLevel="1" x14ac:dyDescent="0.35">
      <c r="A141" s="50" t="s">
        <v>186</v>
      </c>
      <c r="B141" s="42"/>
      <c r="C141" s="54"/>
      <c r="D141" s="54"/>
      <c r="E141" s="54"/>
      <c r="F141" s="54"/>
      <c r="G141" s="54"/>
      <c r="H141" s="42"/>
      <c r="I141" s="54"/>
      <c r="J141" s="54"/>
      <c r="K141" s="54"/>
      <c r="L141" s="54"/>
      <c r="M141" s="54"/>
      <c r="N141" s="74"/>
      <c r="O141" s="74"/>
      <c r="P141" s="74"/>
      <c r="Q141" s="54"/>
      <c r="R141" s="22"/>
      <c r="S141" s="54"/>
      <c r="T141" s="22"/>
      <c r="U141" s="22"/>
      <c r="V141" s="20"/>
      <c r="W141" s="54"/>
      <c r="X141" s="22"/>
      <c r="Y141" s="22"/>
      <c r="Z141" s="22"/>
      <c r="AA141" s="22"/>
      <c r="AB141" s="22"/>
      <c r="AC141" s="51"/>
      <c r="AD141" s="51"/>
      <c r="AE141" s="54"/>
      <c r="AF141" s="29">
        <v>22867.352585611556</v>
      </c>
      <c r="AG141" s="51"/>
      <c r="AH141" s="51"/>
      <c r="AI141" s="51"/>
      <c r="AJ141" s="51"/>
      <c r="AK141" s="51"/>
      <c r="AL141" s="51"/>
      <c r="AM141" s="114"/>
      <c r="AN141" s="51"/>
      <c r="AO141" s="51"/>
      <c r="AP141" s="51"/>
      <c r="AQ141" s="51"/>
      <c r="AR141" s="51"/>
      <c r="AS141" s="51"/>
      <c r="AT141" s="51"/>
      <c r="AU141" s="51"/>
      <c r="AV141" s="51"/>
      <c r="AW141" s="51"/>
    </row>
    <row r="142" spans="1:49 16376:16376" s="53" customFormat="1" ht="39" hidden="1" customHeight="1" outlineLevel="1" x14ac:dyDescent="0.35">
      <c r="A142" s="50" t="s">
        <v>187</v>
      </c>
      <c r="B142" s="42"/>
      <c r="C142" s="54"/>
      <c r="D142" s="54"/>
      <c r="E142" s="54"/>
      <c r="F142" s="54"/>
      <c r="G142" s="54"/>
      <c r="H142" s="42"/>
      <c r="I142" s="54"/>
      <c r="J142" s="54"/>
      <c r="K142" s="54"/>
      <c r="L142" s="54"/>
      <c r="M142" s="54"/>
      <c r="N142" s="74"/>
      <c r="O142" s="74"/>
      <c r="P142" s="74"/>
      <c r="Q142" s="54"/>
      <c r="R142" s="22"/>
      <c r="S142" s="54"/>
      <c r="T142" s="22"/>
      <c r="U142" s="22"/>
      <c r="V142" s="20"/>
      <c r="W142" s="54"/>
      <c r="X142" s="22"/>
      <c r="Y142" s="22"/>
      <c r="Z142" s="22"/>
      <c r="AA142" s="22"/>
      <c r="AB142" s="22"/>
      <c r="AC142" s="51"/>
      <c r="AD142" s="51"/>
      <c r="AE142" s="54"/>
      <c r="AF142" s="29">
        <v>5183.2665860719526</v>
      </c>
      <c r="AG142" s="51"/>
      <c r="AH142" s="51"/>
      <c r="AI142" s="51"/>
      <c r="AJ142" s="51"/>
      <c r="AK142" s="51"/>
      <c r="AL142" s="51"/>
      <c r="AM142" s="114"/>
      <c r="AN142" s="51"/>
      <c r="AO142" s="51"/>
      <c r="AP142" s="51"/>
      <c r="AQ142" s="51"/>
      <c r="AR142" s="51"/>
      <c r="AS142" s="51"/>
      <c r="AT142" s="51"/>
      <c r="AU142" s="51"/>
      <c r="AV142" s="51"/>
      <c r="AW142" s="51"/>
    </row>
    <row r="143" spans="1:49 16376:16376" s="49" customFormat="1" ht="40.5" customHeight="1" collapsed="1" x14ac:dyDescent="0.35">
      <c r="A143" s="45" t="s">
        <v>167</v>
      </c>
      <c r="B143" s="47"/>
      <c r="C143" s="48"/>
      <c r="D143" s="48"/>
      <c r="E143" s="48"/>
      <c r="F143" s="48"/>
      <c r="G143" s="48"/>
      <c r="H143" s="47" t="s">
        <v>89</v>
      </c>
      <c r="I143" s="48">
        <v>1</v>
      </c>
      <c r="J143" s="48">
        <v>17000000</v>
      </c>
      <c r="K143" s="48">
        <f t="shared" si="240"/>
        <v>25916.332930359764</v>
      </c>
      <c r="L143" s="48">
        <f>I143*J143</f>
        <v>17000000</v>
      </c>
      <c r="M143" s="48">
        <f t="shared" si="242"/>
        <v>25916.332930359764</v>
      </c>
      <c r="N143" s="72"/>
      <c r="O143" s="72">
        <f>+M143</f>
        <v>25916.332930359764</v>
      </c>
      <c r="P143" s="72">
        <v>0</v>
      </c>
      <c r="Q143" s="48"/>
      <c r="R143" s="18">
        <f t="shared" si="216"/>
        <v>0</v>
      </c>
      <c r="S143" s="48"/>
      <c r="T143" s="18">
        <f t="shared" si="217"/>
        <v>0</v>
      </c>
      <c r="U143" s="18">
        <f t="shared" si="218"/>
        <v>0</v>
      </c>
      <c r="V143" s="16">
        <f t="shared" si="219"/>
        <v>0</v>
      </c>
      <c r="W143" s="48"/>
      <c r="X143" s="18">
        <f t="shared" si="220"/>
        <v>0</v>
      </c>
      <c r="Y143" s="18">
        <f t="shared" si="243"/>
        <v>0</v>
      </c>
      <c r="Z143" s="18">
        <f t="shared" si="221"/>
        <v>0</v>
      </c>
      <c r="AA143" s="18">
        <f>+L143-Y143</f>
        <v>17000000</v>
      </c>
      <c r="AB143" s="18">
        <f t="shared" si="245"/>
        <v>25916.332930359764</v>
      </c>
      <c r="AC143" s="48"/>
      <c r="AD143" s="48">
        <f>AB143</f>
        <v>25916.332930359764</v>
      </c>
      <c r="AE143" s="48"/>
      <c r="AF143" s="48">
        <v>25916.332930359764</v>
      </c>
      <c r="AG143" s="48"/>
      <c r="AH143" s="48">
        <f>AF143</f>
        <v>25916.332930359764</v>
      </c>
      <c r="AI143" s="48"/>
      <c r="AJ143" s="21">
        <f t="shared" ref="AJ143:AM145" si="247">AB143-AF143</f>
        <v>0</v>
      </c>
      <c r="AK143" s="21">
        <f t="shared" si="247"/>
        <v>0</v>
      </c>
      <c r="AL143" s="21">
        <f t="shared" si="247"/>
        <v>0</v>
      </c>
      <c r="AM143" s="108">
        <f t="shared" si="247"/>
        <v>0</v>
      </c>
      <c r="AN143" s="21"/>
      <c r="AO143" s="21"/>
      <c r="AP143" s="21"/>
      <c r="AQ143" s="21"/>
      <c r="AR143" s="48"/>
      <c r="AS143" s="48"/>
      <c r="AT143" s="48"/>
      <c r="AU143" s="48"/>
      <c r="AV143" s="48"/>
      <c r="AW143" s="48"/>
    </row>
    <row r="144" spans="1:49 16376:16376" s="49" customFormat="1" ht="34" customHeight="1" collapsed="1" x14ac:dyDescent="0.35">
      <c r="A144" s="45" t="s">
        <v>168</v>
      </c>
      <c r="B144" s="47"/>
      <c r="C144" s="48"/>
      <c r="D144" s="48"/>
      <c r="E144" s="48"/>
      <c r="F144" s="48"/>
      <c r="G144" s="48"/>
      <c r="H144" s="16" t="s">
        <v>89</v>
      </c>
      <c r="I144" s="17">
        <v>1</v>
      </c>
      <c r="J144" s="18">
        <v>15000000</v>
      </c>
      <c r="K144" s="48">
        <f t="shared" si="240"/>
        <v>22867.352585611556</v>
      </c>
      <c r="L144" s="18">
        <f>I144*J144</f>
        <v>15000000</v>
      </c>
      <c r="M144" s="18">
        <f t="shared" si="242"/>
        <v>22867.352585611556</v>
      </c>
      <c r="N144" s="77"/>
      <c r="O144" s="77"/>
      <c r="P144" s="77">
        <f>M144</f>
        <v>22867.352585611556</v>
      </c>
      <c r="Q144" s="18"/>
      <c r="R144" s="18">
        <f t="shared" si="216"/>
        <v>0</v>
      </c>
      <c r="S144" s="18"/>
      <c r="T144" s="18">
        <f t="shared" si="217"/>
        <v>0</v>
      </c>
      <c r="U144" s="18">
        <f t="shared" si="218"/>
        <v>0</v>
      </c>
      <c r="V144" s="16">
        <f t="shared" si="219"/>
        <v>0</v>
      </c>
      <c r="W144" s="18">
        <v>1138085.395</v>
      </c>
      <c r="X144" s="18">
        <f t="shared" si="220"/>
        <v>1735</v>
      </c>
      <c r="Y144" s="18">
        <f t="shared" si="243"/>
        <v>1138085.395</v>
      </c>
      <c r="Z144" s="18">
        <f t="shared" si="221"/>
        <v>1735</v>
      </c>
      <c r="AA144" s="18">
        <f>+L144-Y144</f>
        <v>13861914.605</v>
      </c>
      <c r="AB144" s="18">
        <f t="shared" si="245"/>
        <v>21132.352585611559</v>
      </c>
      <c r="AC144" s="48"/>
      <c r="AD144" s="48"/>
      <c r="AE144" s="48">
        <f>AB144</f>
        <v>21132.352585611559</v>
      </c>
      <c r="AF144" s="48">
        <v>15244.901723741039</v>
      </c>
      <c r="AG144" s="48"/>
      <c r="AH144" s="48"/>
      <c r="AI144" s="48">
        <f>AF144</f>
        <v>15244.901723741039</v>
      </c>
      <c r="AJ144" s="17">
        <f t="shared" si="247"/>
        <v>5887.4508618705204</v>
      </c>
      <c r="AK144" s="21">
        <f t="shared" si="247"/>
        <v>0</v>
      </c>
      <c r="AL144" s="21">
        <f t="shared" si="247"/>
        <v>0</v>
      </c>
      <c r="AM144" s="113">
        <f t="shared" si="247"/>
        <v>5887.4508618705204</v>
      </c>
      <c r="AN144" s="17"/>
      <c r="AO144" s="17"/>
      <c r="AP144" s="17"/>
      <c r="AQ144" s="17"/>
      <c r="AR144" s="48"/>
      <c r="AS144" s="48"/>
      <c r="AT144" s="48"/>
      <c r="AU144" s="48"/>
      <c r="AV144" s="48"/>
      <c r="AW144" s="48"/>
    </row>
    <row r="145" spans="1:49" s="49" customFormat="1" ht="27.5" customHeight="1" x14ac:dyDescent="0.35">
      <c r="A145" s="45" t="s">
        <v>169</v>
      </c>
      <c r="B145" s="47"/>
      <c r="C145" s="48"/>
      <c r="D145" s="48"/>
      <c r="E145" s="48"/>
      <c r="F145" s="48"/>
      <c r="G145" s="48"/>
      <c r="H145" s="16" t="s">
        <v>89</v>
      </c>
      <c r="I145" s="17">
        <v>1</v>
      </c>
      <c r="J145" s="18">
        <v>60000000</v>
      </c>
      <c r="K145" s="48">
        <f t="shared" si="240"/>
        <v>91469.410342446223</v>
      </c>
      <c r="L145" s="18">
        <f>I145*J145</f>
        <v>60000000</v>
      </c>
      <c r="M145" s="18">
        <f t="shared" si="242"/>
        <v>91469.410342446223</v>
      </c>
      <c r="N145" s="77"/>
      <c r="O145" s="72">
        <f>+M145</f>
        <v>91469.410342446223</v>
      </c>
      <c r="P145" s="77">
        <v>0</v>
      </c>
      <c r="Q145" s="18"/>
      <c r="R145" s="18">
        <f t="shared" si="216"/>
        <v>0</v>
      </c>
      <c r="S145" s="18"/>
      <c r="T145" s="18">
        <f t="shared" si="217"/>
        <v>0</v>
      </c>
      <c r="U145" s="18">
        <f t="shared" si="218"/>
        <v>0</v>
      </c>
      <c r="V145" s="16">
        <f t="shared" si="219"/>
        <v>0</v>
      </c>
      <c r="W145" s="18">
        <f>12670268+16720836</f>
        <v>29391104</v>
      </c>
      <c r="X145" s="18">
        <f t="shared" si="220"/>
        <v>44806.449203225209</v>
      </c>
      <c r="Y145" s="18">
        <f t="shared" si="243"/>
        <v>29391104</v>
      </c>
      <c r="Z145" s="18">
        <f t="shared" si="221"/>
        <v>44806.449203225209</v>
      </c>
      <c r="AA145" s="18">
        <f>+L145-Y145</f>
        <v>30608896</v>
      </c>
      <c r="AB145" s="18">
        <f t="shared" si="245"/>
        <v>46662.961139221014</v>
      </c>
      <c r="AC145" s="48"/>
      <c r="AD145" s="48">
        <f>AB145</f>
        <v>46662.961139221014</v>
      </c>
      <c r="AE145" s="48"/>
      <c r="AF145" s="48">
        <v>60979.606894964156</v>
      </c>
      <c r="AG145" s="48"/>
      <c r="AH145" s="48">
        <f>AF145</f>
        <v>60979.606894964156</v>
      </c>
      <c r="AI145" s="48"/>
      <c r="AJ145" s="17">
        <f t="shared" si="247"/>
        <v>-14316.645755743142</v>
      </c>
      <c r="AK145" s="21">
        <f t="shared" si="247"/>
        <v>0</v>
      </c>
      <c r="AL145" s="17">
        <f t="shared" si="247"/>
        <v>-14316.645755743142</v>
      </c>
      <c r="AM145" s="108">
        <f t="shared" si="247"/>
        <v>0</v>
      </c>
      <c r="AN145" s="21"/>
      <c r="AO145" s="21"/>
      <c r="AP145" s="21"/>
      <c r="AQ145" s="21"/>
      <c r="AR145" s="48"/>
      <c r="AS145" s="48"/>
      <c r="AT145" s="48"/>
      <c r="AU145" s="48"/>
      <c r="AV145" s="48"/>
      <c r="AW145" s="48"/>
    </row>
    <row r="146" spans="1:49" ht="27.5" customHeight="1" x14ac:dyDescent="0.35">
      <c r="A146" s="24" t="s">
        <v>170</v>
      </c>
      <c r="B146" s="31"/>
      <c r="C146" s="26"/>
      <c r="D146" s="26"/>
      <c r="E146" s="27">
        <f>SUM(E119:E127)</f>
        <v>230194</v>
      </c>
      <c r="F146" s="27">
        <f>+E146*655.957</f>
        <v>150997365.65799999</v>
      </c>
      <c r="G146" s="28">
        <f>F146/$F$159</f>
        <v>0.21096822369086338</v>
      </c>
      <c r="H146" s="31"/>
      <c r="I146" s="26"/>
      <c r="J146" s="26"/>
      <c r="K146" s="26"/>
      <c r="L146" s="27">
        <f t="shared" ref="L146:X146" si="248">L119+L120+L127+L134+L143+L144+L145</f>
        <v>494515000</v>
      </c>
      <c r="M146" s="27">
        <f t="shared" si="248"/>
        <v>753883.25759157992</v>
      </c>
      <c r="N146" s="68">
        <f t="shared" si="248"/>
        <v>0</v>
      </c>
      <c r="O146" s="68">
        <f>O119+O120+O127+O134+O143+O144+O145</f>
        <v>586928.71636403003</v>
      </c>
      <c r="P146" s="68">
        <f>P119+P120+P127+P134+P143+P144+P145</f>
        <v>166954.54122754998</v>
      </c>
      <c r="Q146" s="27">
        <f t="shared" si="248"/>
        <v>34875631</v>
      </c>
      <c r="R146" s="27">
        <f t="shared" si="248"/>
        <v>53167.556714845632</v>
      </c>
      <c r="S146" s="27">
        <f t="shared" si="248"/>
        <v>71056962</v>
      </c>
      <c r="T146" s="27">
        <f t="shared" si="248"/>
        <v>108325.64024776015</v>
      </c>
      <c r="U146" s="27">
        <f t="shared" si="248"/>
        <v>105932593</v>
      </c>
      <c r="V146" s="27">
        <f t="shared" si="248"/>
        <v>161493.19696260578</v>
      </c>
      <c r="W146" s="27">
        <f t="shared" si="248"/>
        <v>148321913.43699998</v>
      </c>
      <c r="X146" s="27">
        <f t="shared" si="248"/>
        <v>226115.29938242902</v>
      </c>
      <c r="Y146" s="27">
        <f>Y119+Y120+Y127+Y134+Y143+Y144+Y145</f>
        <v>254254506.43700001</v>
      </c>
      <c r="Z146" s="27">
        <f>Z119+Z120+Z127+Z134+Z143+Z144+Z145</f>
        <v>387608.4963450348</v>
      </c>
      <c r="AA146" s="27">
        <f>AA119+AA120+AA127+AA134+AA143+AA144+AA145</f>
        <v>240260493.56299999</v>
      </c>
      <c r="AB146" s="27">
        <f>AB119+AB120+AB127+AB134+AB143+AB144+AB145</f>
        <v>366274.76124654518</v>
      </c>
      <c r="AC146" s="27">
        <f t="shared" ref="AC146:AM146" si="249">AC119+AC120+AC127+AC134+AC143+AC144+AC145</f>
        <v>0</v>
      </c>
      <c r="AD146" s="27">
        <f t="shared" si="249"/>
        <v>261930.44208690507</v>
      </c>
      <c r="AE146" s="27">
        <f t="shared" si="249"/>
        <v>104344.31915964004</v>
      </c>
      <c r="AF146" s="27">
        <f t="shared" si="249"/>
        <v>263050.7792431516</v>
      </c>
      <c r="AG146" s="27">
        <f t="shared" si="249"/>
        <v>0</v>
      </c>
      <c r="AH146" s="27">
        <f t="shared" si="249"/>
        <v>193229.12934841766</v>
      </c>
      <c r="AI146" s="27">
        <f t="shared" si="249"/>
        <v>69821.649894733957</v>
      </c>
      <c r="AJ146" s="33">
        <f t="shared" si="249"/>
        <v>103223.98200339351</v>
      </c>
      <c r="AK146" s="27">
        <f t="shared" si="249"/>
        <v>0</v>
      </c>
      <c r="AL146" s="27">
        <f t="shared" si="249"/>
        <v>68701.312738487424</v>
      </c>
      <c r="AM146" s="110">
        <f t="shared" si="249"/>
        <v>34522.669264906093</v>
      </c>
      <c r="AN146" s="27"/>
      <c r="AO146" s="27"/>
      <c r="AP146" s="27"/>
      <c r="AQ146" s="27"/>
      <c r="AR146" s="27">
        <f t="shared" ref="AR146:AW146" si="250">AR119+AR120+AR127+AR134+AR143+AR144+AR145</f>
        <v>0</v>
      </c>
      <c r="AS146" s="27">
        <f t="shared" si="250"/>
        <v>0</v>
      </c>
      <c r="AT146" s="27">
        <f t="shared" si="250"/>
        <v>0</v>
      </c>
      <c r="AU146" s="27">
        <f t="shared" si="250"/>
        <v>0</v>
      </c>
      <c r="AV146" s="27">
        <f t="shared" si="250"/>
        <v>0</v>
      </c>
      <c r="AW146" s="27">
        <f t="shared" si="250"/>
        <v>0</v>
      </c>
    </row>
    <row r="147" spans="1:49" s="101" customFormat="1" ht="27.5" customHeight="1" x14ac:dyDescent="0.35">
      <c r="A147" s="98"/>
      <c r="B147" s="99"/>
      <c r="C147" s="23"/>
      <c r="D147" s="23"/>
      <c r="E147" s="80"/>
      <c r="F147" s="80"/>
      <c r="G147" s="80"/>
      <c r="H147" s="99"/>
      <c r="I147" s="23"/>
      <c r="J147" s="23"/>
      <c r="K147" s="23"/>
      <c r="L147" s="80"/>
      <c r="M147" s="80"/>
      <c r="N147" s="100"/>
      <c r="O147" s="100"/>
      <c r="P147" s="100"/>
      <c r="Q147" s="80"/>
      <c r="R147" s="80"/>
      <c r="S147" s="80"/>
      <c r="T147" s="80"/>
      <c r="U147" s="80"/>
      <c r="V147" s="80"/>
      <c r="W147" s="80"/>
      <c r="X147" s="80"/>
      <c r="Y147" s="80"/>
      <c r="Z147" s="80"/>
      <c r="AA147" s="80"/>
      <c r="AB147" s="80"/>
      <c r="AC147" s="80"/>
      <c r="AD147" s="80"/>
      <c r="AE147" s="80"/>
      <c r="AF147" s="97">
        <f>AF146*655.957</f>
        <v>172550000</v>
      </c>
      <c r="AG147" s="97">
        <f>AG146*655.957</f>
        <v>0</v>
      </c>
      <c r="AH147" s="97">
        <f>AH146*655.957</f>
        <v>126750000</v>
      </c>
      <c r="AI147" s="97">
        <f>AI146*655.957</f>
        <v>45800000</v>
      </c>
      <c r="AJ147" s="80"/>
      <c r="AK147" s="80"/>
      <c r="AL147" s="80"/>
      <c r="AM147" s="119"/>
      <c r="AN147" s="80"/>
      <c r="AO147" s="80"/>
      <c r="AP147" s="80"/>
      <c r="AQ147" s="80"/>
      <c r="AR147" s="80"/>
      <c r="AS147" s="80"/>
      <c r="AT147" s="80"/>
      <c r="AU147" s="80"/>
      <c r="AV147" s="80"/>
      <c r="AW147" s="80"/>
    </row>
    <row r="148" spans="1:49" s="93" customFormat="1" ht="27.5" customHeight="1" x14ac:dyDescent="0.35">
      <c r="A148" s="88" t="s">
        <v>190</v>
      </c>
      <c r="B148" s="89"/>
      <c r="C148" s="90"/>
      <c r="D148" s="90"/>
      <c r="E148" s="91"/>
      <c r="F148" s="91"/>
      <c r="G148" s="91"/>
      <c r="H148" s="89"/>
      <c r="I148" s="90"/>
      <c r="J148" s="90"/>
      <c r="K148" s="90"/>
      <c r="L148" s="91">
        <v>2000000</v>
      </c>
      <c r="M148" s="91">
        <f t="shared" si="242"/>
        <v>3048.9803447482077</v>
      </c>
      <c r="N148" s="92"/>
      <c r="O148" s="92"/>
      <c r="P148" s="92"/>
      <c r="Q148" s="91"/>
      <c r="R148" s="91"/>
      <c r="S148" s="91"/>
      <c r="T148" s="91"/>
      <c r="U148" s="91"/>
      <c r="V148" s="91"/>
      <c r="W148" s="91"/>
      <c r="X148" s="91"/>
      <c r="Y148" s="91"/>
      <c r="Z148" s="91"/>
      <c r="AA148" s="91">
        <v>2000000</v>
      </c>
      <c r="AB148" s="91">
        <f t="shared" si="245"/>
        <v>3048.9803447482077</v>
      </c>
      <c r="AC148" s="91"/>
      <c r="AD148" s="91">
        <v>3048.9803447482077</v>
      </c>
      <c r="AE148" s="91"/>
      <c r="AF148" s="91"/>
      <c r="AG148" s="91"/>
      <c r="AH148" s="91"/>
      <c r="AI148" s="91"/>
      <c r="AJ148" s="91">
        <v>3048.9803447482077</v>
      </c>
      <c r="AK148" s="91"/>
      <c r="AL148" s="91">
        <v>3048.9803447482077</v>
      </c>
      <c r="AM148" s="120"/>
      <c r="AN148" s="91"/>
      <c r="AO148" s="91"/>
      <c r="AP148" s="91"/>
      <c r="AQ148" s="91"/>
      <c r="AR148" s="91"/>
      <c r="AS148" s="91"/>
      <c r="AT148" s="91"/>
      <c r="AU148" s="91"/>
      <c r="AV148" s="91"/>
      <c r="AW148" s="91"/>
    </row>
    <row r="149" spans="1:49" ht="27.5" customHeight="1" collapsed="1" x14ac:dyDescent="0.35">
      <c r="A149" s="134" t="s">
        <v>171</v>
      </c>
      <c r="B149" s="134"/>
      <c r="C149" s="134"/>
      <c r="D149" s="134"/>
      <c r="E149" s="37">
        <f>E72+E97+E117+E146</f>
        <v>616196.00922316557</v>
      </c>
      <c r="F149" s="37">
        <f>+E149*655.957</f>
        <v>404198085.62200004</v>
      </c>
      <c r="G149" s="37">
        <f>F149/$F$159</f>
        <v>0.564731389659201</v>
      </c>
      <c r="H149" s="35"/>
      <c r="I149" s="36"/>
      <c r="J149" s="36"/>
      <c r="K149" s="36"/>
      <c r="L149" s="37">
        <f>L72+L97+L117+L146+L148</f>
        <v>1073140590</v>
      </c>
      <c r="M149" s="37">
        <f>M72+M97+M117+M146+M148</f>
        <v>1635992.2830307474</v>
      </c>
      <c r="N149" s="69">
        <f t="shared" ref="N149:V149" si="251">N72+N97+N117+N146+N53</f>
        <v>30489.803447482078</v>
      </c>
      <c r="O149" s="69">
        <f t="shared" si="251"/>
        <v>1341895.2614271971</v>
      </c>
      <c r="P149" s="69">
        <f t="shared" si="251"/>
        <v>263607.21815606812</v>
      </c>
      <c r="Q149" s="37">
        <f t="shared" si="251"/>
        <v>72839326</v>
      </c>
      <c r="R149" s="37">
        <f t="shared" si="251"/>
        <v>111042.83664935353</v>
      </c>
      <c r="S149" s="37">
        <f t="shared" si="251"/>
        <v>153346355</v>
      </c>
      <c r="T149" s="37">
        <f t="shared" si="251"/>
        <v>233775.0111668905</v>
      </c>
      <c r="U149" s="37">
        <f t="shared" si="251"/>
        <v>226185681</v>
      </c>
      <c r="V149" s="37">
        <f t="shared" si="251"/>
        <v>344817.847816244</v>
      </c>
      <c r="W149" s="37">
        <f>W72+W97+W117+W146</f>
        <v>381558383.57255995</v>
      </c>
      <c r="X149" s="37">
        <f>X72+X97+X117+X146</f>
        <v>581682.00594331638</v>
      </c>
      <c r="Y149" s="37">
        <f t="shared" ref="Y149:AM149" si="252">Y72+Y97+Y117+Y146+Y148</f>
        <v>607744064.57255995</v>
      </c>
      <c r="Z149" s="37">
        <f t="shared" si="252"/>
        <v>926499.8537595605</v>
      </c>
      <c r="AA149" s="37">
        <f t="shared" si="252"/>
        <v>465396525.42743999</v>
      </c>
      <c r="AB149" s="37">
        <f t="shared" si="252"/>
        <v>709492.42927118705</v>
      </c>
      <c r="AC149" s="37">
        <f t="shared" si="252"/>
        <v>15003.007612450207</v>
      </c>
      <c r="AD149" s="37">
        <f t="shared" si="252"/>
        <v>580961.76883545716</v>
      </c>
      <c r="AE149" s="37">
        <f t="shared" si="252"/>
        <v>113527.65282327958</v>
      </c>
      <c r="AF149" s="37">
        <f t="shared" si="252"/>
        <v>518920.68703436351</v>
      </c>
      <c r="AG149" s="37">
        <f t="shared" si="252"/>
        <v>6098</v>
      </c>
      <c r="AH149" s="37">
        <f t="shared" si="252"/>
        <v>443001.0371396296</v>
      </c>
      <c r="AI149" s="37">
        <f t="shared" si="252"/>
        <v>69821.649894733957</v>
      </c>
      <c r="AJ149" s="37">
        <f t="shared" si="252"/>
        <v>190571.74223682345</v>
      </c>
      <c r="AK149" s="37">
        <f t="shared" si="252"/>
        <v>8905.0076124502066</v>
      </c>
      <c r="AL149" s="37">
        <f t="shared" si="252"/>
        <v>137960.73169582765</v>
      </c>
      <c r="AM149" s="112">
        <f t="shared" si="252"/>
        <v>43706.002928545633</v>
      </c>
      <c r="AN149" s="37"/>
      <c r="AO149" s="37"/>
      <c r="AP149" s="37"/>
      <c r="AQ149" s="37"/>
      <c r="AR149" s="37">
        <f t="shared" ref="AR149:AW149" si="253">AR72+AR97+AR117+AR146+AR148</f>
        <v>4591699</v>
      </c>
      <c r="AS149" s="37">
        <f t="shared" si="253"/>
        <v>7000</v>
      </c>
      <c r="AT149" s="37">
        <f t="shared" si="253"/>
        <v>0</v>
      </c>
      <c r="AU149" s="37">
        <f t="shared" si="253"/>
        <v>0</v>
      </c>
      <c r="AV149" s="37">
        <f t="shared" si="253"/>
        <v>0</v>
      </c>
      <c r="AW149" s="37">
        <f t="shared" si="253"/>
        <v>0</v>
      </c>
    </row>
    <row r="150" spans="1:49" s="101" customFormat="1" ht="27.5" customHeight="1" x14ac:dyDescent="0.35">
      <c r="A150" s="107"/>
      <c r="B150" s="107"/>
      <c r="C150" s="107"/>
      <c r="D150" s="107"/>
      <c r="E150" s="80"/>
      <c r="F150" s="80"/>
      <c r="G150" s="80"/>
      <c r="H150" s="99"/>
      <c r="I150" s="23"/>
      <c r="J150" s="23"/>
      <c r="K150" s="23"/>
      <c r="L150" s="80"/>
      <c r="M150" s="80"/>
      <c r="N150" s="100"/>
      <c r="O150" s="100"/>
      <c r="P150" s="100"/>
      <c r="Q150" s="80"/>
      <c r="R150" s="80"/>
      <c r="S150" s="80"/>
      <c r="T150" s="80"/>
      <c r="U150" s="80"/>
      <c r="V150" s="80"/>
      <c r="W150" s="80"/>
      <c r="X150" s="80"/>
      <c r="Y150" s="80"/>
      <c r="Z150" s="80"/>
      <c r="AA150" s="80"/>
      <c r="AB150" s="80"/>
      <c r="AC150" s="80"/>
      <c r="AD150" s="80"/>
      <c r="AE150" s="80"/>
      <c r="AF150" s="103">
        <f t="shared" ref="AF150:AM150" si="254">AF149*655.957</f>
        <v>340389657.10499996</v>
      </c>
      <c r="AG150" s="103">
        <f t="shared" si="254"/>
        <v>4000025.7859999998</v>
      </c>
      <c r="AH150" s="103">
        <f t="shared" si="254"/>
        <v>290589631.31900001</v>
      </c>
      <c r="AI150" s="103">
        <f t="shared" si="254"/>
        <v>45800000</v>
      </c>
      <c r="AJ150" s="103">
        <f t="shared" si="254"/>
        <v>125006868.32244</v>
      </c>
      <c r="AK150" s="103">
        <f t="shared" si="254"/>
        <v>5841302.0784400003</v>
      </c>
      <c r="AL150" s="103">
        <f t="shared" si="254"/>
        <v>90496307.681000024</v>
      </c>
      <c r="AM150" s="103">
        <f t="shared" si="254"/>
        <v>28669258.563000008</v>
      </c>
      <c r="AN150" s="80"/>
      <c r="AO150" s="80"/>
      <c r="AP150" s="80"/>
      <c r="AQ150" s="80"/>
      <c r="AR150" s="80"/>
      <c r="AS150" s="23"/>
      <c r="AT150" s="103">
        <f>AT149*655.957</f>
        <v>0</v>
      </c>
      <c r="AU150" s="103">
        <f>AU149*655.957</f>
        <v>0</v>
      </c>
      <c r="AV150" s="103">
        <f>AV149*655.957</f>
        <v>0</v>
      </c>
      <c r="AW150" s="103">
        <f>AW149*655.957</f>
        <v>0</v>
      </c>
    </row>
    <row r="151" spans="1:49" s="43" customFormat="1" ht="28" customHeight="1" x14ac:dyDescent="0.35">
      <c r="A151" s="60" t="s">
        <v>172</v>
      </c>
      <c r="B151" s="42"/>
      <c r="C151" s="29"/>
      <c r="D151" s="29"/>
      <c r="E151" s="48">
        <f>E54+E149</f>
        <v>1019747.0092231656</v>
      </c>
      <c r="F151" s="48">
        <f>+E151*655.957</f>
        <v>668910188.92900002</v>
      </c>
      <c r="G151" s="48">
        <f>F151/$F$159</f>
        <v>0.93457785672033911</v>
      </c>
      <c r="H151" s="42"/>
      <c r="I151" s="29"/>
      <c r="J151" s="29"/>
      <c r="K151" s="29"/>
      <c r="L151" s="48">
        <f t="shared" ref="L151:Q151" si="255">L54+L149</f>
        <v>1495324334.2620001</v>
      </c>
      <c r="M151" s="48">
        <f t="shared" si="255"/>
        <v>2279607.2520942683</v>
      </c>
      <c r="N151" s="72">
        <f t="shared" si="255"/>
        <v>82569.814789688957</v>
      </c>
      <c r="O151" s="72">
        <f t="shared" si="255"/>
        <v>1718580.2808135287</v>
      </c>
      <c r="P151" s="72">
        <f t="shared" si="255"/>
        <v>478457.15649105044</v>
      </c>
      <c r="Q151" s="48">
        <f t="shared" si="255"/>
        <v>141920165.96000001</v>
      </c>
      <c r="R151" s="48">
        <f>+Q151/655.957</f>
        <v>216355.89826772184</v>
      </c>
      <c r="S151" s="48">
        <f t="shared" ref="S151:X151" si="256">S54+S149</f>
        <v>220755546</v>
      </c>
      <c r="T151" s="48">
        <f t="shared" si="256"/>
        <v>336539.66037407937</v>
      </c>
      <c r="U151" s="48">
        <f t="shared" si="256"/>
        <v>362675711.96000004</v>
      </c>
      <c r="V151" s="48">
        <f t="shared" si="256"/>
        <v>552895.55864180124</v>
      </c>
      <c r="W151" s="48">
        <f t="shared" si="256"/>
        <v>467569904.07255995</v>
      </c>
      <c r="X151" s="48">
        <f t="shared" si="256"/>
        <v>712805.72365652013</v>
      </c>
      <c r="Y151" s="22">
        <f>+U151+W151</f>
        <v>830245616.03255999</v>
      </c>
      <c r="Z151" s="22">
        <f>+Y151/655.957</f>
        <v>1265701.2822983214</v>
      </c>
      <c r="AA151" s="48">
        <f t="shared" ref="AA151:AM151" si="257">AA54+AA149</f>
        <v>665078718.22943997</v>
      </c>
      <c r="AB151" s="48">
        <f t="shared" si="257"/>
        <v>1013905.969795947</v>
      </c>
      <c r="AC151" s="48">
        <f t="shared" si="257"/>
        <v>41694.015559617474</v>
      </c>
      <c r="AD151" s="48">
        <f t="shared" si="257"/>
        <v>750499.79078140785</v>
      </c>
      <c r="AE151" s="48">
        <f t="shared" si="257"/>
        <v>221712.16345492157</v>
      </c>
      <c r="AF151" s="48">
        <f t="shared" si="257"/>
        <v>641704.49051660392</v>
      </c>
      <c r="AG151" s="48">
        <f t="shared" si="257"/>
        <v>16178.002195265848</v>
      </c>
      <c r="AH151" s="48">
        <f t="shared" si="257"/>
        <v>514259.97864097799</v>
      </c>
      <c r="AI151" s="48">
        <f t="shared" si="257"/>
        <v>111266.50968036015</v>
      </c>
      <c r="AJ151" s="48">
        <f t="shared" si="257"/>
        <v>372201.47927934304</v>
      </c>
      <c r="AK151" s="48">
        <f t="shared" si="257"/>
        <v>25516.013364351631</v>
      </c>
      <c r="AL151" s="48">
        <f t="shared" si="257"/>
        <v>236239.81214042997</v>
      </c>
      <c r="AM151" s="118">
        <f t="shared" si="257"/>
        <v>110445.65377456145</v>
      </c>
      <c r="AN151" s="48"/>
      <c r="AO151" s="48"/>
      <c r="AP151" s="48"/>
      <c r="AQ151" s="118"/>
      <c r="AR151" s="118">
        <f t="shared" ref="AR151:AW151" si="258">AR54+AR149</f>
        <v>13407761.08</v>
      </c>
      <c r="AS151" s="118">
        <f t="shared" si="258"/>
        <v>20440</v>
      </c>
      <c r="AT151" s="118">
        <f t="shared" si="258"/>
        <v>0</v>
      </c>
      <c r="AU151" s="118">
        <f t="shared" si="258"/>
        <v>0</v>
      </c>
      <c r="AV151" s="118">
        <f t="shared" si="258"/>
        <v>0</v>
      </c>
      <c r="AW151" s="118">
        <f t="shared" si="258"/>
        <v>0</v>
      </c>
    </row>
    <row r="152" spans="1:49" ht="28" customHeight="1" x14ac:dyDescent="0.35">
      <c r="A152" s="19" t="s">
        <v>173</v>
      </c>
      <c r="B152" s="20"/>
      <c r="C152" s="21"/>
      <c r="D152" s="21"/>
      <c r="E152" s="22">
        <f>E151*0/100</f>
        <v>0</v>
      </c>
      <c r="F152" s="22">
        <f t="shared" si="230"/>
        <v>0</v>
      </c>
      <c r="G152" s="22"/>
      <c r="H152" s="20"/>
      <c r="I152" s="21"/>
      <c r="J152" s="21"/>
      <c r="K152" s="21"/>
      <c r="L152" s="22">
        <v>0</v>
      </c>
      <c r="M152" s="22">
        <f>+L152*655.957</f>
        <v>0</v>
      </c>
      <c r="N152" s="67"/>
      <c r="O152" s="67"/>
      <c r="P152" s="67"/>
      <c r="Q152" s="22"/>
      <c r="R152" s="22">
        <f>+Q152/655.957</f>
        <v>0</v>
      </c>
      <c r="S152" s="22"/>
      <c r="T152" s="22">
        <f>+S152/655.957</f>
        <v>0</v>
      </c>
      <c r="U152" s="22">
        <f>Q152+S152</f>
        <v>0</v>
      </c>
      <c r="V152" s="20">
        <f>+U152/655.957</f>
        <v>0</v>
      </c>
      <c r="W152" s="22"/>
      <c r="X152" s="22">
        <f>+W152/655.957</f>
        <v>0</v>
      </c>
      <c r="Y152" s="22"/>
      <c r="Z152" s="22"/>
      <c r="AA152" s="22"/>
      <c r="AB152" s="22"/>
      <c r="AC152" s="21"/>
      <c r="AD152" s="21"/>
      <c r="AE152" s="21"/>
      <c r="AF152" s="21"/>
      <c r="AG152" s="21"/>
      <c r="AH152" s="21"/>
      <c r="AI152" s="21"/>
      <c r="AJ152" s="21"/>
      <c r="AK152" s="21"/>
      <c r="AL152" s="21"/>
      <c r="AM152" s="108"/>
      <c r="AN152" s="21"/>
      <c r="AO152" s="21"/>
      <c r="AP152" s="21"/>
      <c r="AQ152" s="21"/>
      <c r="AR152" s="21"/>
      <c r="AS152" s="21"/>
      <c r="AT152" s="21"/>
      <c r="AU152" s="21"/>
      <c r="AV152" s="21"/>
      <c r="AW152" s="21"/>
    </row>
    <row r="153" spans="1:49" s="43" customFormat="1" ht="28" customHeight="1" x14ac:dyDescent="0.35">
      <c r="A153" s="61" t="s">
        <v>174</v>
      </c>
      <c r="B153" s="36"/>
      <c r="C153" s="36"/>
      <c r="D153" s="36"/>
      <c r="E153" s="37">
        <f>E151+E152</f>
        <v>1019747.0092231656</v>
      </c>
      <c r="F153" s="37">
        <f>+E153*655.957</f>
        <v>668910188.92900002</v>
      </c>
      <c r="G153" s="37">
        <f>F153/$F$159</f>
        <v>0.93457785672033911</v>
      </c>
      <c r="H153" s="35"/>
      <c r="I153" s="36"/>
      <c r="J153" s="36"/>
      <c r="K153" s="36"/>
      <c r="L153" s="37">
        <f>L151+L152</f>
        <v>1495324334.2620001</v>
      </c>
      <c r="M153" s="37">
        <f>M151+M152</f>
        <v>2279607.2520942683</v>
      </c>
      <c r="N153" s="69">
        <f>N151+N152</f>
        <v>82569.814789688957</v>
      </c>
      <c r="O153" s="69">
        <f>O151+O152</f>
        <v>1718580.2808135287</v>
      </c>
      <c r="P153" s="69">
        <f>P151+P152</f>
        <v>478457.15649105044</v>
      </c>
      <c r="Q153" s="37">
        <f t="shared" ref="Q153:V153" si="259">Q151+Q152</f>
        <v>141920165.96000001</v>
      </c>
      <c r="R153" s="37">
        <f>R151+R152</f>
        <v>216355.89826772184</v>
      </c>
      <c r="S153" s="37">
        <f t="shared" si="259"/>
        <v>220755546</v>
      </c>
      <c r="T153" s="37">
        <f t="shared" si="259"/>
        <v>336539.66037407937</v>
      </c>
      <c r="U153" s="37">
        <f>U151+U152</f>
        <v>362675711.96000004</v>
      </c>
      <c r="V153" s="37">
        <f t="shared" si="259"/>
        <v>552895.55864180124</v>
      </c>
      <c r="W153" s="37">
        <f>W151+W152</f>
        <v>467569904.07255995</v>
      </c>
      <c r="X153" s="37">
        <f>X151+X152</f>
        <v>712805.72365652013</v>
      </c>
      <c r="Y153" s="37">
        <f>Y151+Y152</f>
        <v>830245616.03255999</v>
      </c>
      <c r="Z153" s="37">
        <f>Z151+Z152</f>
        <v>1265701.2822983214</v>
      </c>
      <c r="AA153" s="37">
        <f>AA151+AA152</f>
        <v>665078718.22943997</v>
      </c>
      <c r="AB153" s="37">
        <f t="shared" ref="AB153:AM153" si="260">AB151+AB152</f>
        <v>1013905.969795947</v>
      </c>
      <c r="AC153" s="37">
        <f t="shared" si="260"/>
        <v>41694.015559617474</v>
      </c>
      <c r="AD153" s="37">
        <f t="shared" si="260"/>
        <v>750499.79078140785</v>
      </c>
      <c r="AE153" s="37">
        <f t="shared" si="260"/>
        <v>221712.16345492157</v>
      </c>
      <c r="AF153" s="37">
        <f t="shared" ref="AF153" si="261">AF151+AF152</f>
        <v>641704.49051660392</v>
      </c>
      <c r="AG153" s="37">
        <f t="shared" si="260"/>
        <v>16178.002195265848</v>
      </c>
      <c r="AH153" s="37">
        <f t="shared" si="260"/>
        <v>514259.97864097799</v>
      </c>
      <c r="AI153" s="37">
        <f t="shared" si="260"/>
        <v>111266.50968036015</v>
      </c>
      <c r="AJ153" s="37">
        <f t="shared" si="260"/>
        <v>372201.47927934304</v>
      </c>
      <c r="AK153" s="37">
        <f t="shared" si="260"/>
        <v>25516.013364351631</v>
      </c>
      <c r="AL153" s="37">
        <f t="shared" si="260"/>
        <v>236239.81214042997</v>
      </c>
      <c r="AM153" s="112">
        <f t="shared" si="260"/>
        <v>110445.65377456145</v>
      </c>
      <c r="AN153" s="37"/>
      <c r="AO153" s="37"/>
      <c r="AP153" s="37"/>
      <c r="AQ153" s="37"/>
      <c r="AR153" s="112">
        <f t="shared" ref="AR153:AW153" si="262">AR151+AR152</f>
        <v>13407761.08</v>
      </c>
      <c r="AS153" s="112">
        <f t="shared" si="262"/>
        <v>20440</v>
      </c>
      <c r="AT153" s="112">
        <f t="shared" si="262"/>
        <v>0</v>
      </c>
      <c r="AU153" s="112">
        <f t="shared" si="262"/>
        <v>0</v>
      </c>
      <c r="AV153" s="112">
        <f t="shared" si="262"/>
        <v>0</v>
      </c>
      <c r="AW153" s="112">
        <f t="shared" si="262"/>
        <v>0</v>
      </c>
    </row>
    <row r="154" spans="1:49" s="101" customFormat="1" ht="28" customHeight="1" x14ac:dyDescent="0.35">
      <c r="A154" s="102"/>
      <c r="B154" s="23"/>
      <c r="C154" s="23"/>
      <c r="D154" s="23"/>
      <c r="E154" s="80"/>
      <c r="F154" s="80"/>
      <c r="G154" s="80"/>
      <c r="H154" s="99"/>
      <c r="I154" s="23"/>
      <c r="J154" s="23"/>
      <c r="K154" s="23"/>
      <c r="L154" s="80"/>
      <c r="M154" s="80"/>
      <c r="N154" s="100"/>
      <c r="O154" s="100"/>
      <c r="P154" s="100"/>
      <c r="Q154" s="80"/>
      <c r="R154" s="80"/>
      <c r="S154" s="80"/>
      <c r="T154" s="80"/>
      <c r="U154" s="80"/>
      <c r="V154" s="80"/>
      <c r="W154" s="80"/>
      <c r="X154" s="80"/>
      <c r="Y154" s="80"/>
      <c r="Z154" s="80"/>
      <c r="AA154" s="80"/>
      <c r="AB154" s="80"/>
      <c r="AC154" s="80"/>
      <c r="AD154" s="80"/>
      <c r="AE154" s="80"/>
      <c r="AF154" s="103">
        <f t="shared" ref="AF154:AM154" si="263">AF153*655.957</f>
        <v>420930552.48579997</v>
      </c>
      <c r="AG154" s="103">
        <f t="shared" si="263"/>
        <v>10612073.786</v>
      </c>
      <c r="AH154" s="103">
        <f t="shared" si="263"/>
        <v>337332432.80940002</v>
      </c>
      <c r="AI154" s="103">
        <f t="shared" si="263"/>
        <v>72986045.890400007</v>
      </c>
      <c r="AJ154" s="103">
        <f t="shared" si="263"/>
        <v>244148165.74364001</v>
      </c>
      <c r="AK154" s="103">
        <f t="shared" si="263"/>
        <v>16737407.578440003</v>
      </c>
      <c r="AL154" s="103">
        <f t="shared" si="263"/>
        <v>154963158.45220003</v>
      </c>
      <c r="AM154" s="103">
        <f t="shared" si="263"/>
        <v>72447599.713</v>
      </c>
      <c r="AN154" s="80"/>
      <c r="AO154" s="80"/>
      <c r="AP154" s="80"/>
      <c r="AQ154" s="80"/>
      <c r="AR154" s="23"/>
      <c r="AS154" s="23"/>
      <c r="AT154" s="103">
        <f>AT153*655.957</f>
        <v>0</v>
      </c>
      <c r="AU154" s="103">
        <f>AU153*655.957</f>
        <v>0</v>
      </c>
      <c r="AV154" s="103">
        <f>AV153*655.957</f>
        <v>0</v>
      </c>
      <c r="AW154" s="103">
        <f>AW153*655.957</f>
        <v>0</v>
      </c>
    </row>
    <row r="155" spans="1:49" s="43" customFormat="1" ht="28" customHeight="1" x14ac:dyDescent="0.35">
      <c r="A155" s="62" t="s">
        <v>175</v>
      </c>
      <c r="B155" s="42"/>
      <c r="C155" s="29"/>
      <c r="D155" s="29"/>
      <c r="E155" s="29">
        <f>E153*7/100</f>
        <v>71382.290645621586</v>
      </c>
      <c r="F155" s="29">
        <f>+E155*655.957</f>
        <v>46823713.225029998</v>
      </c>
      <c r="G155" s="48">
        <f>F155/$F$159</f>
        <v>6.5420449970423733E-2</v>
      </c>
      <c r="H155" s="42"/>
      <c r="I155" s="29"/>
      <c r="J155" s="29"/>
      <c r="K155" s="29"/>
      <c r="L155" s="29">
        <f>+L153*7.00019808419029%</f>
        <v>104675665.39943974</v>
      </c>
      <c r="M155" s="29">
        <f>+M153*7%</f>
        <v>159572.50764659879</v>
      </c>
      <c r="N155" s="71">
        <v>63040.25334611263</v>
      </c>
      <c r="O155" s="71">
        <v>63040.25334611263</v>
      </c>
      <c r="P155" s="71">
        <v>33492.000954373536</v>
      </c>
      <c r="Q155" s="29">
        <f>+Q153*0.07</f>
        <v>9934411.6172000021</v>
      </c>
      <c r="R155" s="22">
        <f>+Q155/655.957</f>
        <v>15144.91287874053</v>
      </c>
      <c r="S155" s="29">
        <f>+S153*0.07</f>
        <v>15452888.220000001</v>
      </c>
      <c r="T155" s="22">
        <f>+S155/655.957</f>
        <v>23557.776226185561</v>
      </c>
      <c r="U155" s="22">
        <f>Q155+S155</f>
        <v>25387299.837200001</v>
      </c>
      <c r="V155" s="20">
        <f>+U155/655.957</f>
        <v>38702.689104926088</v>
      </c>
      <c r="W155" s="29">
        <f>+W153*7%</f>
        <v>32729893.2850792</v>
      </c>
      <c r="X155" s="22">
        <f>+W155/655.957</f>
        <v>49896.400655956415</v>
      </c>
      <c r="Y155" s="29">
        <f>+Y153*7%</f>
        <v>58117193.122279204</v>
      </c>
      <c r="Z155" s="22">
        <f t="shared" ref="Z155" si="264">+Y155/655.957</f>
        <v>88599.089760882503</v>
      </c>
      <c r="AA155" s="22">
        <f>+L155-Y155</f>
        <v>46558472.277160533</v>
      </c>
      <c r="AB155" s="22">
        <f t="shared" ref="AB155" si="265">+AA155/655.957</f>
        <v>70977.933427283395</v>
      </c>
      <c r="AC155" s="22">
        <f>7%*(AC153+AD153)</f>
        <v>55453.566443871772</v>
      </c>
      <c r="AD155" s="22"/>
      <c r="AE155" s="22">
        <f>7%*AE153</f>
        <v>15519.851441844512</v>
      </c>
      <c r="AF155" s="29">
        <f>+AF153*7%</f>
        <v>44919.314336162279</v>
      </c>
      <c r="AG155" s="104">
        <f>AF155</f>
        <v>44919.314336162279</v>
      </c>
      <c r="AH155" s="22"/>
      <c r="AI155" s="22"/>
      <c r="AJ155" s="21">
        <f>7%*AJ153</f>
        <v>26054.103549554016</v>
      </c>
      <c r="AK155" s="22">
        <f>3.5%*(AK153+AL153)</f>
        <v>9161.4538926673576</v>
      </c>
      <c r="AL155" s="22">
        <f>AK155</f>
        <v>9161.4538926673576</v>
      </c>
      <c r="AM155" s="108">
        <f>7%*AM153</f>
        <v>7731.195764219302</v>
      </c>
      <c r="AN155" s="21"/>
      <c r="AO155" s="21"/>
      <c r="AP155" s="21"/>
      <c r="AQ155" s="21"/>
      <c r="AR155" s="29"/>
      <c r="AS155" s="29"/>
      <c r="AT155" s="29"/>
      <c r="AU155" s="29"/>
      <c r="AV155" s="29"/>
      <c r="AW155" s="29"/>
    </row>
    <row r="156" spans="1:49" s="43" customFormat="1" ht="28" customHeight="1" x14ac:dyDescent="0.35">
      <c r="A156" s="61" t="s">
        <v>176</v>
      </c>
      <c r="B156" s="36"/>
      <c r="C156" s="36"/>
      <c r="D156" s="36"/>
      <c r="E156" s="37">
        <f>E153+E155</f>
        <v>1091129.2998687872</v>
      </c>
      <c r="F156" s="37">
        <f>+E156*655.957</f>
        <v>715733902.15402997</v>
      </c>
      <c r="G156" s="37">
        <f>F156/$F$159</f>
        <v>0.99999830669076273</v>
      </c>
      <c r="H156" s="35"/>
      <c r="I156" s="36"/>
      <c r="J156" s="36"/>
      <c r="K156" s="36"/>
      <c r="L156" s="37">
        <f t="shared" ref="L156:AM156" si="266">L153+L155</f>
        <v>1599999999.6614399</v>
      </c>
      <c r="M156" s="37">
        <f t="shared" si="266"/>
        <v>2439179.7597408672</v>
      </c>
      <c r="N156" s="69">
        <f>N153+N155</f>
        <v>145610.06813580159</v>
      </c>
      <c r="O156" s="69">
        <f>O153+O155</f>
        <v>1781620.5341596412</v>
      </c>
      <c r="P156" s="69">
        <f>P153+P155</f>
        <v>511949.157445424</v>
      </c>
      <c r="Q156" s="37">
        <f t="shared" si="266"/>
        <v>151854577.5772</v>
      </c>
      <c r="R156" s="37">
        <f t="shared" si="266"/>
        <v>231500.81114646237</v>
      </c>
      <c r="S156" s="37">
        <f t="shared" si="266"/>
        <v>236208434.22</v>
      </c>
      <c r="T156" s="37">
        <f t="shared" si="266"/>
        <v>360097.43660026492</v>
      </c>
      <c r="U156" s="37">
        <f t="shared" si="266"/>
        <v>388063011.79720002</v>
      </c>
      <c r="V156" s="37">
        <f t="shared" si="266"/>
        <v>591598.24774672731</v>
      </c>
      <c r="W156" s="37">
        <f t="shared" si="266"/>
        <v>500299797.35763913</v>
      </c>
      <c r="X156" s="37">
        <f t="shared" si="266"/>
        <v>762702.12431247649</v>
      </c>
      <c r="Y156" s="37">
        <f t="shared" si="266"/>
        <v>888362809.15483916</v>
      </c>
      <c r="Z156" s="37">
        <f t="shared" si="266"/>
        <v>1354300.3720592039</v>
      </c>
      <c r="AA156" s="37">
        <f t="shared" si="266"/>
        <v>711637190.5066005</v>
      </c>
      <c r="AB156" s="37">
        <f t="shared" si="266"/>
        <v>1084883.9032232303</v>
      </c>
      <c r="AC156" s="37">
        <f t="shared" si="266"/>
        <v>97147.582003489253</v>
      </c>
      <c r="AD156" s="37">
        <f t="shared" si="266"/>
        <v>750499.79078140785</v>
      </c>
      <c r="AE156" s="37">
        <f t="shared" si="266"/>
        <v>237232.01489676608</v>
      </c>
      <c r="AF156" s="37">
        <f t="shared" ref="AF156" si="267">AF153+AF155</f>
        <v>686623.80485276622</v>
      </c>
      <c r="AG156" s="37">
        <f t="shared" si="266"/>
        <v>61097.316531428129</v>
      </c>
      <c r="AH156" s="37">
        <f t="shared" si="266"/>
        <v>514259.97864097799</v>
      </c>
      <c r="AI156" s="37">
        <f t="shared" si="266"/>
        <v>111266.50968036015</v>
      </c>
      <c r="AJ156" s="37">
        <f t="shared" si="266"/>
        <v>398255.58282889705</v>
      </c>
      <c r="AK156" s="37">
        <f t="shared" si="266"/>
        <v>34677.467257018987</v>
      </c>
      <c r="AL156" s="37">
        <f t="shared" si="266"/>
        <v>245401.26603309734</v>
      </c>
      <c r="AM156" s="112">
        <f t="shared" si="266"/>
        <v>118176.84953878075</v>
      </c>
      <c r="AN156" s="37"/>
      <c r="AO156" s="37"/>
      <c r="AP156" s="37"/>
      <c r="AQ156" s="37"/>
      <c r="AR156" s="37">
        <f t="shared" ref="AR156:AW156" si="268">AR153+AR155</f>
        <v>13407761.08</v>
      </c>
      <c r="AS156" s="37">
        <f t="shared" si="268"/>
        <v>20440</v>
      </c>
      <c r="AT156" s="37">
        <f t="shared" si="268"/>
        <v>0</v>
      </c>
      <c r="AU156" s="37">
        <f t="shared" si="268"/>
        <v>0</v>
      </c>
      <c r="AV156" s="37">
        <f t="shared" si="268"/>
        <v>0</v>
      </c>
      <c r="AW156" s="37">
        <f t="shared" si="268"/>
        <v>0</v>
      </c>
    </row>
    <row r="157" spans="1:49" ht="28" customHeight="1" x14ac:dyDescent="0.35">
      <c r="A157" s="19" t="s">
        <v>177</v>
      </c>
      <c r="B157" s="20"/>
      <c r="C157" s="21"/>
      <c r="D157" s="21"/>
      <c r="E157" s="21"/>
      <c r="F157" s="21">
        <f t="shared" si="230"/>
        <v>0</v>
      </c>
      <c r="G157" s="21"/>
      <c r="H157" s="20"/>
      <c r="I157" s="21"/>
      <c r="J157" s="21"/>
      <c r="K157" s="21"/>
      <c r="L157" s="21"/>
      <c r="M157" s="21"/>
      <c r="N157" s="78"/>
      <c r="O157" s="78"/>
      <c r="P157" s="78"/>
      <c r="Q157" s="21"/>
      <c r="R157" s="21"/>
      <c r="S157" s="21"/>
      <c r="T157" s="21"/>
      <c r="U157" s="21"/>
      <c r="V157" s="20"/>
      <c r="W157" s="21"/>
      <c r="X157" s="21"/>
      <c r="Y157" s="28">
        <f>Y156+AA156</f>
        <v>1599999999.6614397</v>
      </c>
      <c r="Z157" s="80"/>
      <c r="AA157" s="28">
        <f>L156-Y156</f>
        <v>711637190.50660074</v>
      </c>
      <c r="AB157" s="28">
        <f>AA157/655.957</f>
        <v>1084883.9032232307</v>
      </c>
      <c r="AC157" s="21"/>
      <c r="AD157" s="21"/>
      <c r="AE157" s="21"/>
      <c r="AF157" s="21"/>
      <c r="AG157" s="21"/>
      <c r="AH157" s="21"/>
      <c r="AI157" s="21"/>
      <c r="AJ157" s="28">
        <f>AB156-AF156</f>
        <v>398260.09837046405</v>
      </c>
      <c r="AK157" s="21"/>
      <c r="AL157" s="21"/>
      <c r="AM157" s="108"/>
      <c r="AN157" s="21"/>
      <c r="AO157" s="21"/>
      <c r="AP157" s="21"/>
      <c r="AQ157" s="21"/>
      <c r="AR157" s="21"/>
      <c r="AS157" s="21"/>
      <c r="AT157" s="21"/>
      <c r="AU157" s="21"/>
      <c r="AV157" s="21"/>
      <c r="AW157" s="21"/>
    </row>
    <row r="158" spans="1:49" ht="28" customHeight="1" x14ac:dyDescent="0.35">
      <c r="A158" s="19" t="s">
        <v>178</v>
      </c>
      <c r="B158" s="20"/>
      <c r="C158" s="21"/>
      <c r="D158" s="21"/>
      <c r="E158" s="21"/>
      <c r="F158" s="21">
        <f t="shared" si="230"/>
        <v>0</v>
      </c>
      <c r="G158" s="21"/>
      <c r="H158" s="20"/>
      <c r="I158" s="21"/>
      <c r="J158" s="21"/>
      <c r="K158" s="21"/>
      <c r="L158" s="21"/>
      <c r="M158" s="21"/>
      <c r="N158" s="78"/>
      <c r="O158" s="78"/>
      <c r="P158" s="78"/>
      <c r="Q158" s="21"/>
      <c r="R158" s="21"/>
      <c r="S158" s="21"/>
      <c r="T158" s="21"/>
      <c r="U158" s="21"/>
      <c r="V158" s="20"/>
      <c r="W158" s="21"/>
      <c r="X158" s="21"/>
      <c r="Y158" s="21"/>
      <c r="Z158" s="21" t="s">
        <v>2</v>
      </c>
      <c r="AA158" s="21"/>
      <c r="AB158" s="21"/>
      <c r="AC158" s="21"/>
      <c r="AD158" s="21"/>
      <c r="AE158" s="21"/>
      <c r="AF158" s="21"/>
      <c r="AG158" s="21"/>
      <c r="AH158" s="21"/>
      <c r="AI158" s="21"/>
      <c r="AJ158" s="21"/>
      <c r="AK158" s="21"/>
      <c r="AL158" s="21"/>
      <c r="AM158" s="108"/>
      <c r="AN158" s="21"/>
      <c r="AO158" s="21"/>
      <c r="AP158" s="21"/>
      <c r="AQ158" s="21"/>
      <c r="AR158" s="21"/>
      <c r="AS158" s="21"/>
      <c r="AT158" s="21"/>
      <c r="AU158" s="21"/>
      <c r="AV158" s="21"/>
      <c r="AW158" s="21"/>
    </row>
    <row r="159" spans="1:49" ht="28" customHeight="1" x14ac:dyDescent="0.35">
      <c r="A159" s="63" t="s">
        <v>179</v>
      </c>
      <c r="B159" s="64"/>
      <c r="C159" s="65"/>
      <c r="D159" s="65"/>
      <c r="E159" s="66">
        <f>E156+1.84</f>
        <v>1091131.1398687873</v>
      </c>
      <c r="F159" s="66">
        <f>+E159*655.957+5</f>
        <v>715735114.11491013</v>
      </c>
      <c r="G159" s="66">
        <v>1</v>
      </c>
      <c r="H159" s="64"/>
      <c r="I159" s="65"/>
      <c r="J159" s="65"/>
      <c r="K159" s="65"/>
      <c r="L159" s="66">
        <f>L156</f>
        <v>1599999999.6614399</v>
      </c>
      <c r="M159" s="66">
        <f>M156</f>
        <v>2439179.7597408672</v>
      </c>
      <c r="N159" s="79">
        <f>N156</f>
        <v>145610.06813580159</v>
      </c>
      <c r="O159" s="79">
        <f>O156</f>
        <v>1781620.5341596412</v>
      </c>
      <c r="P159" s="79">
        <f>P156</f>
        <v>511949.157445424</v>
      </c>
      <c r="Q159" s="66">
        <f t="shared" ref="Q159:T159" si="269">Q156</f>
        <v>151854577.5772</v>
      </c>
      <c r="R159" s="66">
        <f t="shared" si="269"/>
        <v>231500.81114646237</v>
      </c>
      <c r="S159" s="66">
        <f>S156</f>
        <v>236208434.22</v>
      </c>
      <c r="T159" s="66">
        <f t="shared" si="269"/>
        <v>360097.43660026492</v>
      </c>
      <c r="U159" s="66">
        <f>Q159+S159</f>
        <v>388063011.79719996</v>
      </c>
      <c r="V159" s="66">
        <f>+U159/655.957</f>
        <v>591598.2477467272</v>
      </c>
      <c r="W159" s="66">
        <f>W156</f>
        <v>500299797.35763913</v>
      </c>
      <c r="X159" s="66">
        <f t="shared" ref="X159:AM159" si="270">X156</f>
        <v>762702.12431247649</v>
      </c>
      <c r="Y159" s="66">
        <f>Y156</f>
        <v>888362809.15483916</v>
      </c>
      <c r="Z159" s="66">
        <f t="shared" si="270"/>
        <v>1354300.3720592039</v>
      </c>
      <c r="AA159" s="66">
        <f>AA156</f>
        <v>711637190.5066005</v>
      </c>
      <c r="AB159" s="66">
        <f t="shared" si="270"/>
        <v>1084883.9032232303</v>
      </c>
      <c r="AC159" s="66">
        <f t="shared" si="270"/>
        <v>97147.582003489253</v>
      </c>
      <c r="AD159" s="66">
        <f t="shared" si="270"/>
        <v>750499.79078140785</v>
      </c>
      <c r="AE159" s="66">
        <f t="shared" si="270"/>
        <v>237232.01489676608</v>
      </c>
      <c r="AF159" s="66">
        <f t="shared" ref="AF159" si="271">AF156</f>
        <v>686623.80485276622</v>
      </c>
      <c r="AG159" s="66">
        <f t="shared" si="270"/>
        <v>61097.316531428129</v>
      </c>
      <c r="AH159" s="66">
        <f t="shared" si="270"/>
        <v>514259.97864097799</v>
      </c>
      <c r="AI159" s="66">
        <f t="shared" si="270"/>
        <v>111266.50968036015</v>
      </c>
      <c r="AJ159" s="66">
        <f t="shared" si="270"/>
        <v>398255.58282889705</v>
      </c>
      <c r="AK159" s="66">
        <f t="shared" si="270"/>
        <v>34677.467257018987</v>
      </c>
      <c r="AL159" s="66">
        <f t="shared" si="270"/>
        <v>245401.26603309734</v>
      </c>
      <c r="AM159" s="121">
        <f t="shared" si="270"/>
        <v>118176.84953878075</v>
      </c>
      <c r="AN159" s="66"/>
      <c r="AO159" s="66"/>
      <c r="AP159" s="66"/>
      <c r="AQ159" s="66"/>
      <c r="AR159" s="121">
        <f t="shared" ref="AR159:AW159" si="272">AR156</f>
        <v>13407761.08</v>
      </c>
      <c r="AS159" s="121">
        <f t="shared" si="272"/>
        <v>20440</v>
      </c>
      <c r="AT159" s="121">
        <f t="shared" si="272"/>
        <v>0</v>
      </c>
      <c r="AU159" s="121">
        <f t="shared" si="272"/>
        <v>0</v>
      </c>
      <c r="AV159" s="121">
        <f t="shared" si="272"/>
        <v>0</v>
      </c>
      <c r="AW159" s="121">
        <f t="shared" si="272"/>
        <v>0</v>
      </c>
    </row>
    <row r="160" spans="1:49" s="96" customFormat="1" ht="32" customHeight="1" x14ac:dyDescent="0.35">
      <c r="A160" s="94"/>
      <c r="B160" s="95"/>
      <c r="N160" s="106">
        <f>N159*655.957</f>
        <v>95513943.464156002</v>
      </c>
      <c r="O160" s="106">
        <f>O159*655.957</f>
        <v>1168666460.7257557</v>
      </c>
      <c r="P160" s="106">
        <f>P159*655.957</f>
        <v>335816633.47042799</v>
      </c>
      <c r="U160" s="106">
        <f>Q159+S159</f>
        <v>388063011.79719996</v>
      </c>
      <c r="Z160" s="97"/>
      <c r="AB160" s="106">
        <f t="shared" ref="AB160:AM160" si="273">AB159*655.957</f>
        <v>711637190.5066005</v>
      </c>
      <c r="AC160" s="106">
        <f t="shared" si="273"/>
        <v>63724636.448262796</v>
      </c>
      <c r="AD160" s="106">
        <f t="shared" si="273"/>
        <v>492295591.26159996</v>
      </c>
      <c r="AE160" s="106">
        <f t="shared" si="273"/>
        <v>155614000.795638</v>
      </c>
      <c r="AF160" s="106">
        <f t="shared" si="273"/>
        <v>450395691.15980595</v>
      </c>
      <c r="AG160" s="106">
        <f t="shared" si="273"/>
        <v>40077212.460005999</v>
      </c>
      <c r="AH160" s="106">
        <f t="shared" si="273"/>
        <v>337332432.80940002</v>
      </c>
      <c r="AI160" s="106">
        <f t="shared" si="273"/>
        <v>72986045.890400007</v>
      </c>
      <c r="AJ160" s="106">
        <f t="shared" si="273"/>
        <v>261238537.34569481</v>
      </c>
      <c r="AK160" s="106">
        <f t="shared" si="273"/>
        <v>22746927.389512405</v>
      </c>
      <c r="AL160" s="106">
        <f t="shared" si="273"/>
        <v>160972678.26327243</v>
      </c>
      <c r="AM160" s="122">
        <f t="shared" si="273"/>
        <v>77518931.692910001</v>
      </c>
      <c r="AN160" s="123"/>
      <c r="AO160" s="123"/>
      <c r="AP160" s="123"/>
      <c r="AQ160" s="123"/>
      <c r="AR160" s="122">
        <f t="shared" ref="AR160:AW160" si="274">AR159*655.957</f>
        <v>8794914734.7535591</v>
      </c>
      <c r="AS160" s="122">
        <f t="shared" si="274"/>
        <v>13407761.08</v>
      </c>
      <c r="AT160" s="122">
        <f t="shared" si="274"/>
        <v>0</v>
      </c>
      <c r="AU160" s="122">
        <f t="shared" si="274"/>
        <v>0</v>
      </c>
      <c r="AV160" s="122">
        <f t="shared" si="274"/>
        <v>0</v>
      </c>
      <c r="AW160" s="122">
        <f t="shared" si="274"/>
        <v>0</v>
      </c>
    </row>
  </sheetData>
  <mergeCells count="22">
    <mergeCell ref="H3:P3"/>
    <mergeCell ref="N4:P4"/>
    <mergeCell ref="AC4:AE4"/>
    <mergeCell ref="A149:D149"/>
    <mergeCell ref="W4:X4"/>
    <mergeCell ref="Y4:Z4"/>
    <mergeCell ref="AA4:AB4"/>
    <mergeCell ref="B75:F75"/>
    <mergeCell ref="B79:F79"/>
    <mergeCell ref="B93:F93"/>
    <mergeCell ref="B117:D117"/>
    <mergeCell ref="H117:J117"/>
    <mergeCell ref="B4:G4"/>
    <mergeCell ref="H4:M4"/>
    <mergeCell ref="Q4:R4"/>
    <mergeCell ref="S4:T4"/>
    <mergeCell ref="U4:V4"/>
    <mergeCell ref="AX4:AY4"/>
    <mergeCell ref="AN4:AS4"/>
    <mergeCell ref="AT4:AW4"/>
    <mergeCell ref="AF4:AI4"/>
    <mergeCell ref="AJ4:AM4"/>
  </mergeCells>
  <pageMargins left="0.70866141732283472" right="0.70866141732283472" top="0.74803149606299213" bottom="0.74803149606299213" header="0.31496062992125984" footer="0.31496062992125984"/>
  <pageSetup paperSize="9" scale="49" fitToWidth="5" fitToHeight="5" orientation="landscape" r:id="rId1"/>
  <headerFooter>
    <oddFooter>&amp;L&amp;F</oddFooter>
  </headerFooter>
  <rowBreaks count="1" manualBreakCount="1">
    <brk id="122" max="46"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7978EC024D7B4F94E32C826E2259A6" ma:contentTypeVersion="13" ma:contentTypeDescription="Create a new document." ma:contentTypeScope="" ma:versionID="0d2427c978a965e0cbf75a8ce0373cc4">
  <xsd:schema xmlns:xsd="http://www.w3.org/2001/XMLSchema" xmlns:xs="http://www.w3.org/2001/XMLSchema" xmlns:p="http://schemas.microsoft.com/office/2006/metadata/properties" xmlns:ns2="71bbbc2d-6cad-4bae-a9b6-f7a9cc8f121c" xmlns:ns3="2ce0ca84-8b2a-4181-bf67-340254fafee5" targetNamespace="http://schemas.microsoft.com/office/2006/metadata/properties" ma:root="true" ma:fieldsID="f3e2771b3a8a810ffb2f1f30b24916e0" ns2:_="" ns3:_="">
    <xsd:import namespace="71bbbc2d-6cad-4bae-a9b6-f7a9cc8f121c"/>
    <xsd:import namespace="2ce0ca84-8b2a-4181-bf67-340254fafee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bbc2d-6cad-4bae-a9b6-f7a9cc8f12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8b044b7-0085-4a7e-81e3-b64056e7991a"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e0ca84-8b2a-4181-bf67-340254fafee5"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d7fc4e0-6085-425f-8fb6-e669b9eba4b1}" ma:internalName="TaxCatchAll" ma:showField="CatchAllData" ma:web="2ce0ca84-8b2a-4181-bf67-340254fafe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ce0ca84-8b2a-4181-bf67-340254fafee5" xsi:nil="true"/>
    <lcf76f155ced4ddcb4097134ff3c332f xmlns="71bbbc2d-6cad-4bae-a9b6-f7a9cc8f12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5BCA31A-DBA0-482F-A9C4-79FA50A5B945}"/>
</file>

<file path=customXml/itemProps2.xml><?xml version="1.0" encoding="utf-8"?>
<ds:datastoreItem xmlns:ds="http://schemas.openxmlformats.org/officeDocument/2006/customXml" ds:itemID="{900E686E-94FF-4483-B3BB-B27598C98C86}"/>
</file>

<file path=customXml/itemProps3.xml><?xml version="1.0" encoding="utf-8"?>
<ds:datastoreItem xmlns:ds="http://schemas.openxmlformats.org/officeDocument/2006/customXml" ds:itemID="{E3FCCD46-84FA-45BD-8482-B3D336A510DD}"/>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Update planning PRLFP + Budge6</vt:lpstr>
      <vt:lpstr>'Update planning PRLFP + Budge6'!Print_Area</vt:lpstr>
      <vt:lpstr>'Update planning PRLFP + Budge6'!Print_Titles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 Christiaanse</dc:creator>
  <cp:lastModifiedBy>Hans Christiaanse</cp:lastModifiedBy>
  <dcterms:created xsi:type="dcterms:W3CDTF">2025-03-08T13:30:17Z</dcterms:created>
  <dcterms:modified xsi:type="dcterms:W3CDTF">2025-11-11T13:13:35Z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0x010100407978EC024D7B4F94E32C826E2259A6</vt:lpwstr>
  </property>
</Properties>
</file>