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30"/>
  <workbookPr defaultThemeVersion="166925"/>
  <mc:AlternateContent xmlns:mc="http://schemas.openxmlformats.org/markup-compatibility/2006">
    <mc:Choice Requires="x15">
      <x15ac:absPath xmlns:x15ac="http://schemas.microsoft.com/office/spreadsheetml/2010/11/ac" url="https://d.docs.live.net/097203477cb8afa3/POSTE DE TRAVAIL/RAPPORT FINANCIER ANNUEL 2025/PRLFP2025/"/>
    </mc:Choice>
  </mc:AlternateContent>
  <xr:revisionPtr revIDLastSave="2" documentId="8_{E852F65B-8B03-418F-A282-37A12BEF3FC9}" xr6:coauthVersionLast="47" xr6:coauthVersionMax="47" xr10:uidLastSave="{9AF6196D-D157-4546-94A9-94B2BD09171F}"/>
  <bookViews>
    <workbookView xWindow="-110" yWindow="-110" windowWidth="19420" windowHeight="10300" xr2:uid="{1DD52278-C931-45BA-BE1D-57CC703E60F8}"/>
  </bookViews>
  <sheets>
    <sheet name="Rapport Financier 2025" sheetId="2" r:id="rId1"/>
    <sheet name="Rapport jusqu'à 31.12.2025" sheetId="1" r:id="rId2"/>
    <sheet name="DEPENSES 2025 PAR RUBRIQUES" sheetId="4" r:id="rId3"/>
    <sheet name="FAS" sheetId="5" r:id="rId4"/>
  </sheets>
  <definedNames>
    <definedName name="_xlnm.Print_Area" localSheetId="0">'Rapport Financier 2025'!$A$1:$T$159</definedName>
    <definedName name="_xlnm.Print_Area" localSheetId="1">'Rapport jusqu''à 31.12.2025'!$A$1:$AD$159</definedName>
    <definedName name="_xlnm.Print_Titles" localSheetId="0">'Rapport Financier 2025'!$4:$5</definedName>
    <definedName name="_xlnm.Print_Titles" localSheetId="1">'Rapport jusqu''à 31.12.2025'!$4:$5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5" i="2" l="1"/>
  <c r="D11" i="5"/>
  <c r="C11" i="5" s="1"/>
  <c r="C16" i="5"/>
  <c r="C25" i="5"/>
  <c r="C24" i="5"/>
  <c r="C23" i="5"/>
  <c r="C22" i="5"/>
  <c r="C21" i="5"/>
  <c r="C19" i="5"/>
  <c r="C18" i="5"/>
  <c r="C17" i="5"/>
  <c r="E18" i="4"/>
  <c r="E17" i="4"/>
  <c r="E16" i="4"/>
  <c r="E15" i="4"/>
  <c r="E14" i="4"/>
  <c r="E13" i="4"/>
  <c r="E12" i="4"/>
  <c r="E11" i="4"/>
  <c r="E10" i="4"/>
  <c r="E9" i="4"/>
  <c r="C20" i="4"/>
  <c r="C18" i="4"/>
  <c r="C17" i="4"/>
  <c r="C16" i="4"/>
  <c r="C15" i="4"/>
  <c r="C13" i="4"/>
  <c r="C12" i="4"/>
  <c r="C11" i="4"/>
  <c r="C9" i="4"/>
  <c r="C10" i="4"/>
  <c r="AB163" i="1"/>
  <c r="L156" i="1"/>
  <c r="AB156" i="1"/>
  <c r="AA156" i="1"/>
  <c r="AD156" i="1"/>
  <c r="Z156" i="1"/>
  <c r="Z154" i="1"/>
  <c r="AD152" i="1"/>
  <c r="AD151" i="1"/>
  <c r="AD150" i="1"/>
  <c r="Z149" i="1"/>
  <c r="AD149" i="1" s="1"/>
  <c r="Z148" i="1"/>
  <c r="Z144" i="1"/>
  <c r="AB148" i="1"/>
  <c r="Z147" i="1"/>
  <c r="Y148" i="1"/>
  <c r="Y149" i="1"/>
  <c r="T147" i="1"/>
  <c r="AA147" i="1"/>
  <c r="Y147" i="1"/>
  <c r="X147" i="1"/>
  <c r="AD148" i="1"/>
  <c r="AD147" i="1"/>
  <c r="AD146" i="1"/>
  <c r="AD145" i="1"/>
  <c r="AD144" i="1"/>
  <c r="AD143" i="1"/>
  <c r="AD142" i="1"/>
  <c r="AD141" i="1"/>
  <c r="AD140" i="1"/>
  <c r="AD139" i="1"/>
  <c r="AD138" i="1"/>
  <c r="AD137" i="1"/>
  <c r="AD136" i="1"/>
  <c r="AD135" i="1"/>
  <c r="AD134" i="1"/>
  <c r="AD133" i="1"/>
  <c r="AD132" i="1"/>
  <c r="AD131" i="1"/>
  <c r="AD130" i="1"/>
  <c r="AD129" i="1"/>
  <c r="AD128" i="1"/>
  <c r="AD127" i="1"/>
  <c r="AD126" i="1"/>
  <c r="AD125" i="1"/>
  <c r="AD124" i="1"/>
  <c r="AD123" i="1"/>
  <c r="AD122" i="1"/>
  <c r="AD121" i="1"/>
  <c r="AD120" i="1"/>
  <c r="AD119" i="1"/>
  <c r="AD116" i="1"/>
  <c r="AD115" i="1"/>
  <c r="AD114" i="1"/>
  <c r="AD113" i="1"/>
  <c r="AD112" i="1"/>
  <c r="AD111" i="1"/>
  <c r="AD110" i="1"/>
  <c r="AD109" i="1"/>
  <c r="AD108" i="1"/>
  <c r="AD107" i="1"/>
  <c r="AD106" i="1"/>
  <c r="AD105" i="1"/>
  <c r="AD104" i="1"/>
  <c r="AD103" i="1"/>
  <c r="AD102" i="1"/>
  <c r="AD101" i="1"/>
  <c r="AD100" i="1"/>
  <c r="AD99" i="1"/>
  <c r="AD96" i="1"/>
  <c r="AD95" i="1"/>
  <c r="AD94" i="1"/>
  <c r="AD93" i="1"/>
  <c r="AD92" i="1"/>
  <c r="AD91" i="1"/>
  <c r="AD90" i="1"/>
  <c r="AD89" i="1"/>
  <c r="AD88" i="1"/>
  <c r="AD87" i="1"/>
  <c r="AD86" i="1"/>
  <c r="AD85" i="1"/>
  <c r="AD84" i="1"/>
  <c r="AD83" i="1"/>
  <c r="AD82" i="1"/>
  <c r="AD81" i="1"/>
  <c r="AD80" i="1"/>
  <c r="AD79" i="1"/>
  <c r="AD78" i="1"/>
  <c r="AD77" i="1"/>
  <c r="AD76" i="1"/>
  <c r="AD75" i="1"/>
  <c r="AD74" i="1"/>
  <c r="AD71" i="1"/>
  <c r="AD70" i="1"/>
  <c r="AD69" i="1"/>
  <c r="AD68" i="1"/>
  <c r="AD67" i="1"/>
  <c r="AD66" i="1"/>
  <c r="AD65" i="1"/>
  <c r="AD64" i="1"/>
  <c r="AD63" i="1"/>
  <c r="AD62" i="1"/>
  <c r="AD61" i="1"/>
  <c r="AD60" i="1"/>
  <c r="AD59" i="1"/>
  <c r="AD58" i="1"/>
  <c r="AD57" i="1"/>
  <c r="AD52" i="1"/>
  <c r="AD49" i="1"/>
  <c r="AD48" i="1"/>
  <c r="AD47" i="1"/>
  <c r="AD46" i="1"/>
  <c r="AD42" i="1"/>
  <c r="AD41" i="1"/>
  <c r="AD40" i="1"/>
  <c r="AD39" i="1"/>
  <c r="AD38" i="1"/>
  <c r="AD37" i="1"/>
  <c r="AD34" i="1"/>
  <c r="AD33" i="1"/>
  <c r="AD32" i="1"/>
  <c r="AD31" i="1"/>
  <c r="AD30" i="1"/>
  <c r="AD29" i="1"/>
  <c r="AD25" i="1"/>
  <c r="AD24" i="1"/>
  <c r="AD20" i="1"/>
  <c r="AD19" i="1"/>
  <c r="AD18" i="1"/>
  <c r="AD17" i="1"/>
  <c r="AD14" i="1"/>
  <c r="AD10" i="1"/>
  <c r="AD11" i="1"/>
  <c r="AD12" i="1"/>
  <c r="AD13" i="1"/>
  <c r="AD9" i="1"/>
  <c r="AD159" i="1"/>
  <c r="AD154" i="1"/>
  <c r="AB155" i="1"/>
  <c r="AB152" i="1"/>
  <c r="AB150" i="1"/>
  <c r="AB151" i="1"/>
  <c r="AB149" i="1"/>
  <c r="AB147" i="1"/>
  <c r="AB146" i="1"/>
  <c r="AB145" i="1"/>
  <c r="AB144" i="1"/>
  <c r="AB143" i="1"/>
  <c r="AB142" i="1"/>
  <c r="AB141" i="1"/>
  <c r="AB140" i="1"/>
  <c r="AB139" i="1"/>
  <c r="AB138" i="1"/>
  <c r="AB137" i="1"/>
  <c r="AB136" i="1"/>
  <c r="AB135" i="1"/>
  <c r="AB134" i="1"/>
  <c r="AB133" i="1"/>
  <c r="AB132" i="1"/>
  <c r="AB131" i="1"/>
  <c r="AB130" i="1"/>
  <c r="AB129" i="1"/>
  <c r="AB128" i="1"/>
  <c r="AB127" i="1"/>
  <c r="AB126" i="1"/>
  <c r="AB125" i="1"/>
  <c r="AB124" i="1"/>
  <c r="AB123" i="1"/>
  <c r="AB122" i="1"/>
  <c r="AB121" i="1"/>
  <c r="AB120" i="1"/>
  <c r="AB119" i="1"/>
  <c r="AB116" i="1"/>
  <c r="AB115" i="1"/>
  <c r="AB114" i="1"/>
  <c r="AB113" i="1"/>
  <c r="AB112" i="1"/>
  <c r="AB111" i="1"/>
  <c r="AB110" i="1"/>
  <c r="AB109" i="1"/>
  <c r="AB108" i="1"/>
  <c r="AB107" i="1"/>
  <c r="AB106" i="1"/>
  <c r="AB105" i="1"/>
  <c r="AB104" i="1"/>
  <c r="AB103" i="1"/>
  <c r="AB102" i="1"/>
  <c r="AB101" i="1"/>
  <c r="AB100" i="1"/>
  <c r="AB99" i="1"/>
  <c r="AB96" i="1"/>
  <c r="AB95" i="1"/>
  <c r="AB94" i="1"/>
  <c r="AB93" i="1"/>
  <c r="AB92" i="1"/>
  <c r="AB91" i="1"/>
  <c r="AB90" i="1"/>
  <c r="AB89" i="1"/>
  <c r="AB88" i="1"/>
  <c r="AB87" i="1"/>
  <c r="AB86" i="1"/>
  <c r="AB85" i="1"/>
  <c r="AB84" i="1"/>
  <c r="AB83" i="1"/>
  <c r="AB82" i="1"/>
  <c r="AB81" i="1"/>
  <c r="AB80" i="1"/>
  <c r="AB79" i="1"/>
  <c r="AB78" i="1"/>
  <c r="AB77" i="1"/>
  <c r="AB76" i="1"/>
  <c r="AB75" i="1"/>
  <c r="AB74" i="1"/>
  <c r="AB71" i="1"/>
  <c r="AB70" i="1"/>
  <c r="AB69" i="1"/>
  <c r="AB68" i="1"/>
  <c r="AB67" i="1"/>
  <c r="AB66" i="1"/>
  <c r="AB65" i="1"/>
  <c r="AB64" i="1"/>
  <c r="AB63" i="1"/>
  <c r="AB62" i="1"/>
  <c r="AB61" i="1"/>
  <c r="AB60" i="1"/>
  <c r="AB59" i="1"/>
  <c r="AB58" i="1"/>
  <c r="AB57" i="1"/>
  <c r="AB52" i="1"/>
  <c r="AB49" i="1"/>
  <c r="AB48" i="1"/>
  <c r="AB47" i="1"/>
  <c r="AB46" i="1"/>
  <c r="AB42" i="1"/>
  <c r="AB41" i="1"/>
  <c r="AB40" i="1"/>
  <c r="AB39" i="1"/>
  <c r="AB38" i="1"/>
  <c r="AB37" i="1"/>
  <c r="AB34" i="1"/>
  <c r="AB33" i="1"/>
  <c r="AB32" i="1"/>
  <c r="AB31" i="1"/>
  <c r="AB30" i="1"/>
  <c r="AB29" i="1"/>
  <c r="AB25" i="1"/>
  <c r="AB24" i="1"/>
  <c r="AB20" i="1"/>
  <c r="AB19" i="1"/>
  <c r="AB18" i="1"/>
  <c r="AB17" i="1"/>
  <c r="AB10" i="1"/>
  <c r="AB11" i="1"/>
  <c r="AB12" i="1"/>
  <c r="AB13" i="1"/>
  <c r="AB9" i="1"/>
  <c r="X150" i="1"/>
  <c r="X144" i="1"/>
  <c r="X143" i="1"/>
  <c r="X134" i="1"/>
  <c r="Z134" i="1" s="1"/>
  <c r="AA134" i="1" s="1"/>
  <c r="X127" i="1"/>
  <c r="X120" i="1"/>
  <c r="W134" i="1"/>
  <c r="V134" i="1"/>
  <c r="U134" i="1"/>
  <c r="T134" i="1"/>
  <c r="S134" i="1"/>
  <c r="R134" i="1"/>
  <c r="M142" i="1"/>
  <c r="L134" i="1"/>
  <c r="R127" i="1"/>
  <c r="K142" i="1"/>
  <c r="L142" i="1"/>
  <c r="K141" i="1"/>
  <c r="L141" i="1"/>
  <c r="M141" i="1"/>
  <c r="K91" i="1"/>
  <c r="L90" i="1"/>
  <c r="L91" i="1"/>
  <c r="M91" i="1" s="1"/>
  <c r="X116" i="1"/>
  <c r="X114" i="1"/>
  <c r="X111" i="1"/>
  <c r="X110" i="1"/>
  <c r="X105" i="1"/>
  <c r="X101" i="1"/>
  <c r="X117" i="1" s="1"/>
  <c r="X92" i="1"/>
  <c r="X83" i="1"/>
  <c r="X78" i="1"/>
  <c r="X97" i="1" s="1"/>
  <c r="X74" i="1"/>
  <c r="T83" i="1"/>
  <c r="Y84" i="1"/>
  <c r="L83" i="1" l="1"/>
  <c r="X71" i="1" l="1"/>
  <c r="X66" i="1"/>
  <c r="X72" i="1" s="1"/>
  <c r="X151" i="1" s="1"/>
  <c r="X12" i="1"/>
  <c r="M147" i="1"/>
  <c r="M146" i="1"/>
  <c r="M145" i="1"/>
  <c r="L144" i="1"/>
  <c r="M144" i="1" s="1"/>
  <c r="M149" i="1"/>
  <c r="M148" i="1"/>
  <c r="L147" i="1"/>
  <c r="Z158" i="1"/>
  <c r="AA158" i="1" s="1"/>
  <c r="Z157" i="1"/>
  <c r="AA157" i="1" s="1"/>
  <c r="Y13" i="1"/>
  <c r="Y12" i="1"/>
  <c r="Y11" i="1"/>
  <c r="Y10" i="1"/>
  <c r="Y9" i="1"/>
  <c r="Y20" i="1"/>
  <c r="Y19" i="1"/>
  <c r="Y18" i="1"/>
  <c r="Y17" i="1"/>
  <c r="Y25" i="1"/>
  <c r="Y24" i="1"/>
  <c r="Y34" i="1"/>
  <c r="Y33" i="1"/>
  <c r="Y32" i="1"/>
  <c r="Y31" i="1"/>
  <c r="Y30" i="1"/>
  <c r="Y29" i="1"/>
  <c r="T92" i="1"/>
  <c r="Y92" i="1"/>
  <c r="X53" i="1"/>
  <c r="Y53" i="1" s="1"/>
  <c r="T53" i="1"/>
  <c r="X50" i="1"/>
  <c r="X43" i="1"/>
  <c r="X35" i="1"/>
  <c r="X26" i="1"/>
  <c r="X21" i="1"/>
  <c r="X14" i="1"/>
  <c r="Y153" i="1"/>
  <c r="Y144" i="1"/>
  <c r="Y143" i="1"/>
  <c r="Y140" i="1"/>
  <c r="Y139" i="1"/>
  <c r="Y138" i="1"/>
  <c r="Y137" i="1"/>
  <c r="Y136" i="1"/>
  <c r="Y135" i="1"/>
  <c r="Y134" i="1"/>
  <c r="Y133" i="1"/>
  <c r="Y132" i="1"/>
  <c r="Y131" i="1"/>
  <c r="Y130" i="1"/>
  <c r="Y129" i="1"/>
  <c r="Y128" i="1"/>
  <c r="Y127" i="1"/>
  <c r="Y126" i="1"/>
  <c r="Y125" i="1"/>
  <c r="Y124" i="1"/>
  <c r="Y123" i="1"/>
  <c r="Y122" i="1"/>
  <c r="Y121" i="1"/>
  <c r="Y120" i="1"/>
  <c r="Y119" i="1"/>
  <c r="Y114" i="1"/>
  <c r="Y113" i="1"/>
  <c r="Y112" i="1"/>
  <c r="Y111" i="1"/>
  <c r="Y110" i="1"/>
  <c r="Y109" i="1"/>
  <c r="Y108" i="1"/>
  <c r="Y107" i="1"/>
  <c r="Y106" i="1"/>
  <c r="Y105" i="1"/>
  <c r="Y104" i="1"/>
  <c r="Y103" i="1"/>
  <c r="Y102" i="1"/>
  <c r="Y101" i="1"/>
  <c r="Y100" i="1"/>
  <c r="Y99" i="1"/>
  <c r="Y90" i="1"/>
  <c r="Y89" i="1"/>
  <c r="Y88" i="1"/>
  <c r="Y87" i="1"/>
  <c r="Y86" i="1"/>
  <c r="Y85" i="1"/>
  <c r="Y82" i="1"/>
  <c r="Y81" i="1"/>
  <c r="Y80" i="1"/>
  <c r="Y79" i="1"/>
  <c r="Y78" i="1"/>
  <c r="Y77" i="1"/>
  <c r="Y76" i="1"/>
  <c r="Y75" i="1"/>
  <c r="Y71" i="1"/>
  <c r="Y70" i="1"/>
  <c r="Y69" i="1"/>
  <c r="Y68" i="1"/>
  <c r="Y67" i="1"/>
  <c r="Y65" i="1"/>
  <c r="Y64" i="1"/>
  <c r="Y63" i="1"/>
  <c r="Y62" i="1"/>
  <c r="Y61" i="1"/>
  <c r="Y60" i="1"/>
  <c r="Y59" i="1"/>
  <c r="Y58" i="1"/>
  <c r="Y57" i="1"/>
  <c r="Y52" i="1"/>
  <c r="Y49" i="1"/>
  <c r="Y48" i="1"/>
  <c r="Y47" i="1"/>
  <c r="Y46" i="1"/>
  <c r="Y38" i="1"/>
  <c r="Y39" i="1"/>
  <c r="Y40" i="1"/>
  <c r="Y41" i="1"/>
  <c r="Y42" i="1"/>
  <c r="Y37" i="1"/>
  <c r="P167" i="2"/>
  <c r="P166" i="2"/>
  <c r="P119" i="2"/>
  <c r="Y66" i="1" l="1"/>
  <c r="Y43" i="1"/>
  <c r="Y26" i="1"/>
  <c r="Y74" i="1"/>
  <c r="Y35" i="1"/>
  <c r="Y72" i="1"/>
  <c r="Y117" i="1"/>
  <c r="Y83" i="1"/>
  <c r="Y97" i="1" s="1"/>
  <c r="Y14" i="1"/>
  <c r="Y50" i="1"/>
  <c r="Y150" i="1"/>
  <c r="X22" i="1"/>
  <c r="X44" i="1"/>
  <c r="Y21" i="1"/>
  <c r="Y44" i="1" l="1"/>
  <c r="Y22" i="1"/>
  <c r="X54" i="1"/>
  <c r="X152" i="1" s="1"/>
  <c r="X154" i="1" s="1"/>
  <c r="Y151" i="1"/>
  <c r="Y54" i="1" l="1"/>
  <c r="Y152" i="1"/>
  <c r="Y154" i="1" s="1"/>
  <c r="X155" i="1"/>
  <c r="Y155" i="1" s="1"/>
  <c r="Y156" i="1" l="1"/>
  <c r="Y159" i="1" s="1"/>
  <c r="X156" i="1"/>
  <c r="X159" i="1" s="1"/>
  <c r="P54" i="2" l="1"/>
  <c r="P96" i="2"/>
  <c r="P116" i="2"/>
  <c r="P149" i="2"/>
  <c r="P142" i="2"/>
  <c r="P165" i="2"/>
  <c r="P143" i="2"/>
  <c r="P146" i="2"/>
  <c r="P133" i="2"/>
  <c r="P126" i="2"/>
  <c r="P113" i="2"/>
  <c r="P109" i="2"/>
  <c r="P91" i="2"/>
  <c r="P82" i="2"/>
  <c r="P71" i="2"/>
  <c r="P53" i="2"/>
  <c r="P44" i="2"/>
  <c r="P43" i="2"/>
  <c r="P35" i="2"/>
  <c r="P26" i="2"/>
  <c r="P22" i="2"/>
  <c r="P21" i="2"/>
  <c r="P14" i="2"/>
  <c r="P164" i="2" l="1"/>
  <c r="P104" i="2"/>
  <c r="P100" i="2"/>
  <c r="P77" i="2"/>
  <c r="P73" i="2"/>
  <c r="P50" i="2"/>
  <c r="T142" i="2"/>
  <c r="S133" i="2"/>
  <c r="R133" i="2"/>
  <c r="Q133" i="2"/>
  <c r="P110" i="2"/>
  <c r="Q141" i="2" l="1"/>
  <c r="K156" i="2"/>
  <c r="K151" i="2"/>
  <c r="K149" i="2"/>
  <c r="K133" i="2"/>
  <c r="K141" i="2"/>
  <c r="L141" i="2"/>
  <c r="O141" i="2"/>
  <c r="R141" i="2"/>
  <c r="S141" i="2"/>
  <c r="T141" i="2"/>
  <c r="J141" i="2"/>
  <c r="P115" i="2" l="1"/>
  <c r="R99" i="2"/>
  <c r="R98" i="2"/>
  <c r="R81" i="2"/>
  <c r="R80" i="2"/>
  <c r="R66" i="2"/>
  <c r="R61" i="2"/>
  <c r="R20" i="2"/>
  <c r="M77" i="2"/>
  <c r="O77" i="2"/>
  <c r="P70" i="2"/>
  <c r="P12" i="2"/>
  <c r="P151" i="2" l="1"/>
  <c r="P152" i="2" s="1"/>
  <c r="K108" i="2" l="1"/>
  <c r="L108" i="2" s="1"/>
  <c r="J147" i="2"/>
  <c r="K147" i="2"/>
  <c r="Q147" i="2"/>
  <c r="J148" i="2"/>
  <c r="K148" i="2"/>
  <c r="L148" i="2" s="1"/>
  <c r="Q148" i="2"/>
  <c r="K144" i="2"/>
  <c r="K143" i="2" s="1"/>
  <c r="L143" i="2" s="1"/>
  <c r="J144" i="2"/>
  <c r="Q144" i="2"/>
  <c r="J145" i="2"/>
  <c r="K145" i="2"/>
  <c r="T145" i="2" s="1"/>
  <c r="Q145" i="2"/>
  <c r="J140" i="2"/>
  <c r="K140" i="2"/>
  <c r="O140" i="2" s="1"/>
  <c r="Q140" i="2"/>
  <c r="I91" i="2"/>
  <c r="E90" i="2"/>
  <c r="F90" i="2"/>
  <c r="G90" i="2" s="1"/>
  <c r="J90" i="2"/>
  <c r="K90" i="2"/>
  <c r="Q90" i="2"/>
  <c r="R143" i="2" l="1"/>
  <c r="R90" i="2"/>
  <c r="S90" i="2" s="1"/>
  <c r="N147" i="2"/>
  <c r="K146" i="2"/>
  <c r="N148" i="2"/>
  <c r="R147" i="2"/>
  <c r="S147" i="2" s="1"/>
  <c r="L147" i="2"/>
  <c r="O145" i="2"/>
  <c r="L145" i="2"/>
  <c r="R145" i="2"/>
  <c r="S145" i="2" s="1"/>
  <c r="T148" i="2"/>
  <c r="T147" i="2"/>
  <c r="R148" i="2"/>
  <c r="S148" i="2" s="1"/>
  <c r="R144" i="2"/>
  <c r="S144" i="2" s="1"/>
  <c r="L144" i="2"/>
  <c r="T144" i="2"/>
  <c r="O144" i="2"/>
  <c r="L140" i="2"/>
  <c r="T140" i="2"/>
  <c r="R140" i="2"/>
  <c r="S140" i="2" s="1"/>
  <c r="L90" i="2"/>
  <c r="T90" i="2"/>
  <c r="N90" i="2"/>
  <c r="L146" i="2" l="1"/>
  <c r="R146" i="2"/>
  <c r="D25" i="5" l="1"/>
  <c r="D24" i="5"/>
  <c r="D23" i="5"/>
  <c r="D22" i="5"/>
  <c r="D21" i="5"/>
  <c r="D19" i="5"/>
  <c r="D18" i="5"/>
  <c r="D17" i="5"/>
  <c r="D16" i="5"/>
  <c r="C15" i="5"/>
  <c r="D15" i="5" s="1"/>
  <c r="D10" i="5"/>
  <c r="C10" i="5"/>
  <c r="C13" i="5" s="1"/>
  <c r="D8" i="5"/>
  <c r="C26" i="5" l="1"/>
  <c r="D26" i="5" s="1"/>
  <c r="D13" i="5"/>
  <c r="H26" i="4"/>
  <c r="F26" i="4"/>
  <c r="D26" i="4"/>
  <c r="H25" i="4"/>
  <c r="F25" i="4"/>
  <c r="D25" i="4"/>
  <c r="H21" i="4"/>
  <c r="F21" i="4"/>
  <c r="D21" i="4"/>
  <c r="E19" i="4"/>
  <c r="E20" i="4" s="1"/>
  <c r="C19" i="4"/>
  <c r="D19" i="4" s="1"/>
  <c r="I18" i="4"/>
  <c r="G18" i="4"/>
  <c r="H18" i="4" s="1"/>
  <c r="F18" i="4"/>
  <c r="D18" i="4"/>
  <c r="I17" i="4"/>
  <c r="G17" i="4"/>
  <c r="H17" i="4" s="1"/>
  <c r="F17" i="4"/>
  <c r="D17" i="4"/>
  <c r="I16" i="4"/>
  <c r="G16" i="4"/>
  <c r="H16" i="4" s="1"/>
  <c r="F16" i="4"/>
  <c r="D16" i="4"/>
  <c r="I15" i="4"/>
  <c r="G15" i="4"/>
  <c r="H15" i="4" s="1"/>
  <c r="F15" i="4"/>
  <c r="D15" i="4"/>
  <c r="C14" i="4"/>
  <c r="I13" i="4"/>
  <c r="G13" i="4"/>
  <c r="H13" i="4" s="1"/>
  <c r="F13" i="4"/>
  <c r="D13" i="4"/>
  <c r="I12" i="4"/>
  <c r="G12" i="4"/>
  <c r="H12" i="4" s="1"/>
  <c r="F12" i="4"/>
  <c r="D12" i="4"/>
  <c r="G11" i="4"/>
  <c r="H11" i="4" s="1"/>
  <c r="F11" i="4"/>
  <c r="D11" i="4"/>
  <c r="I10" i="4"/>
  <c r="G10" i="4"/>
  <c r="H10" i="4" s="1"/>
  <c r="F10" i="4"/>
  <c r="D10" i="4"/>
  <c r="I9" i="4"/>
  <c r="G9" i="4"/>
  <c r="F9" i="4"/>
  <c r="D9" i="4"/>
  <c r="D20" i="4" l="1"/>
  <c r="I19" i="4"/>
  <c r="G14" i="4"/>
  <c r="H14" i="4" s="1"/>
  <c r="F20" i="4"/>
  <c r="E22" i="4"/>
  <c r="H9" i="4"/>
  <c r="G19" i="4"/>
  <c r="H19" i="4" s="1"/>
  <c r="F14" i="4"/>
  <c r="F19" i="4"/>
  <c r="D14" i="4"/>
  <c r="I20" i="4" l="1"/>
  <c r="C22" i="4"/>
  <c r="G20" i="4"/>
  <c r="G22" i="4" s="1"/>
  <c r="E23" i="4"/>
  <c r="I22" i="4"/>
  <c r="F22" i="4"/>
  <c r="D22" i="4"/>
  <c r="C23" i="4"/>
  <c r="H20" i="4" l="1"/>
  <c r="I23" i="4"/>
  <c r="F23" i="4"/>
  <c r="G23" i="4"/>
  <c r="H23" i="4" s="1"/>
  <c r="D23" i="4"/>
  <c r="H22" i="4"/>
  <c r="G24" i="4"/>
  <c r="C24" i="4"/>
  <c r="E24" i="4"/>
  <c r="F24" i="4" l="1"/>
  <c r="E27" i="4"/>
  <c r="I24" i="4"/>
  <c r="D24" i="4"/>
  <c r="C27" i="4"/>
  <c r="D27" i="4" s="1"/>
  <c r="G27" i="4"/>
  <c r="H27" i="4" s="1"/>
  <c r="H24" i="4"/>
  <c r="I27" i="4" l="1"/>
  <c r="F27" i="4"/>
  <c r="T26" i="1" l="1"/>
  <c r="T21" i="1"/>
  <c r="V118" i="1" l="1"/>
  <c r="T69" i="2" l="1"/>
  <c r="T70" i="2" s="1"/>
  <c r="O53" i="2"/>
  <c r="M53" i="2"/>
  <c r="L153" i="2"/>
  <c r="G153" i="2"/>
  <c r="Q146" i="2"/>
  <c r="F146" i="2"/>
  <c r="G146" i="2" s="1"/>
  <c r="E146" i="2"/>
  <c r="Q143" i="2"/>
  <c r="F143" i="2"/>
  <c r="G143" i="2" s="1"/>
  <c r="E143" i="2"/>
  <c r="Q142" i="2"/>
  <c r="K142" i="2"/>
  <c r="J142" i="2"/>
  <c r="F142" i="2"/>
  <c r="E142" i="2"/>
  <c r="Q139" i="2"/>
  <c r="K139" i="2"/>
  <c r="J139" i="2"/>
  <c r="F139" i="2"/>
  <c r="G139" i="2" s="1"/>
  <c r="E139" i="2"/>
  <c r="Q138" i="2"/>
  <c r="K138" i="2"/>
  <c r="R138" i="2" s="1"/>
  <c r="J138" i="2"/>
  <c r="F138" i="2"/>
  <c r="E138" i="2"/>
  <c r="Q137" i="2"/>
  <c r="K137" i="2"/>
  <c r="J137" i="2"/>
  <c r="F137" i="2"/>
  <c r="E137" i="2"/>
  <c r="Q136" i="2"/>
  <c r="K136" i="2"/>
  <c r="J136" i="2"/>
  <c r="F136" i="2"/>
  <c r="E136" i="2"/>
  <c r="Q135" i="2"/>
  <c r="K135" i="2"/>
  <c r="J135" i="2"/>
  <c r="F135" i="2"/>
  <c r="E135" i="2"/>
  <c r="Q134" i="2"/>
  <c r="K134" i="2"/>
  <c r="J134" i="2"/>
  <c r="F134" i="2"/>
  <c r="E134" i="2"/>
  <c r="N133" i="2"/>
  <c r="M133" i="2"/>
  <c r="Q132" i="2"/>
  <c r="K132" i="2"/>
  <c r="R132" i="2" s="1"/>
  <c r="J132" i="2"/>
  <c r="F132" i="2"/>
  <c r="G132" i="2" s="1"/>
  <c r="E132" i="2"/>
  <c r="Q131" i="2"/>
  <c r="K131" i="2"/>
  <c r="J131" i="2"/>
  <c r="F131" i="2"/>
  <c r="E131" i="2"/>
  <c r="Q130" i="2"/>
  <c r="K130" i="2"/>
  <c r="R130" i="2" s="1"/>
  <c r="S130" i="2" s="1"/>
  <c r="J130" i="2"/>
  <c r="F130" i="2"/>
  <c r="E130" i="2"/>
  <c r="Q129" i="2"/>
  <c r="K129" i="2"/>
  <c r="R129" i="2" s="1"/>
  <c r="S129" i="2" s="1"/>
  <c r="J129" i="2"/>
  <c r="F129" i="2"/>
  <c r="G129" i="2" s="1"/>
  <c r="E129" i="2"/>
  <c r="Q128" i="2"/>
  <c r="K128" i="2"/>
  <c r="R128" i="2" s="1"/>
  <c r="S128" i="2" s="1"/>
  <c r="J128" i="2"/>
  <c r="F128" i="2"/>
  <c r="G128" i="2" s="1"/>
  <c r="E128" i="2"/>
  <c r="Q127" i="2"/>
  <c r="K127" i="2"/>
  <c r="T127" i="2" s="1"/>
  <c r="J127" i="2"/>
  <c r="F127" i="2"/>
  <c r="G127" i="2" s="1"/>
  <c r="E127" i="2"/>
  <c r="O126" i="2"/>
  <c r="M126" i="2"/>
  <c r="K125" i="2"/>
  <c r="L125" i="2" s="1"/>
  <c r="F125" i="2"/>
  <c r="G125" i="2" s="1"/>
  <c r="Q124" i="2"/>
  <c r="K124" i="2"/>
  <c r="T124" i="2" s="1"/>
  <c r="J124" i="2"/>
  <c r="F124" i="2"/>
  <c r="G124" i="2" s="1"/>
  <c r="E124" i="2"/>
  <c r="Q123" i="2"/>
  <c r="K123" i="2"/>
  <c r="J123" i="2"/>
  <c r="F123" i="2"/>
  <c r="G123" i="2" s="1"/>
  <c r="E123" i="2"/>
  <c r="Q122" i="2"/>
  <c r="K122" i="2"/>
  <c r="R122" i="2" s="1"/>
  <c r="S122" i="2" s="1"/>
  <c r="J122" i="2"/>
  <c r="F122" i="2"/>
  <c r="E122" i="2"/>
  <c r="Q121" i="2"/>
  <c r="K121" i="2"/>
  <c r="R121" i="2" s="1"/>
  <c r="S121" i="2" s="1"/>
  <c r="J121" i="2"/>
  <c r="F121" i="2"/>
  <c r="G121" i="2" s="1"/>
  <c r="E121" i="2"/>
  <c r="Q120" i="2"/>
  <c r="K120" i="2"/>
  <c r="J120" i="2"/>
  <c r="F120" i="2"/>
  <c r="E120" i="2"/>
  <c r="Q118" i="2"/>
  <c r="K118" i="2"/>
  <c r="J118" i="2"/>
  <c r="F118" i="2"/>
  <c r="E118" i="2"/>
  <c r="K115" i="2"/>
  <c r="J115" i="2"/>
  <c r="F115" i="2"/>
  <c r="E115" i="2"/>
  <c r="K114" i="2"/>
  <c r="R114" i="2" s="1"/>
  <c r="J114" i="2"/>
  <c r="F114" i="2"/>
  <c r="G114" i="2" s="1"/>
  <c r="E114" i="2"/>
  <c r="Q113" i="2"/>
  <c r="O113" i="2"/>
  <c r="M113" i="2"/>
  <c r="Q112" i="2"/>
  <c r="K112" i="2"/>
  <c r="J112" i="2"/>
  <c r="F112" i="2"/>
  <c r="G112" i="2" s="1"/>
  <c r="E112" i="2"/>
  <c r="Q111" i="2"/>
  <c r="K111" i="2"/>
  <c r="J111" i="2"/>
  <c r="F111" i="2"/>
  <c r="E111" i="2"/>
  <c r="Q110" i="2"/>
  <c r="K110" i="2"/>
  <c r="J110" i="2"/>
  <c r="F110" i="2"/>
  <c r="G110" i="2" s="1"/>
  <c r="E110" i="2"/>
  <c r="O109" i="2"/>
  <c r="M109" i="2"/>
  <c r="J108" i="2"/>
  <c r="F108" i="2"/>
  <c r="E108" i="2"/>
  <c r="Q107" i="2"/>
  <c r="K107" i="2"/>
  <c r="F107" i="2"/>
  <c r="Q106" i="2"/>
  <c r="K106" i="2"/>
  <c r="J106" i="2"/>
  <c r="F106" i="2"/>
  <c r="E106" i="2"/>
  <c r="Q105" i="2"/>
  <c r="K105" i="2"/>
  <c r="R105" i="2" s="1"/>
  <c r="J105" i="2"/>
  <c r="F105" i="2"/>
  <c r="G105" i="2" s="1"/>
  <c r="O105" i="2" s="1"/>
  <c r="E105" i="2"/>
  <c r="N104" i="2"/>
  <c r="M104" i="2"/>
  <c r="J104" i="2"/>
  <c r="E104" i="2"/>
  <c r="Q103" i="2"/>
  <c r="K103" i="2"/>
  <c r="J103" i="2"/>
  <c r="F103" i="2"/>
  <c r="G103" i="2" s="1"/>
  <c r="E103" i="2"/>
  <c r="Q102" i="2"/>
  <c r="K102" i="2"/>
  <c r="J102" i="2"/>
  <c r="F102" i="2"/>
  <c r="E102" i="2"/>
  <c r="Q101" i="2"/>
  <c r="K101" i="2"/>
  <c r="J101" i="2"/>
  <c r="F101" i="2"/>
  <c r="G101" i="2" s="1"/>
  <c r="E101" i="2"/>
  <c r="O100" i="2"/>
  <c r="M100" i="2"/>
  <c r="J100" i="2"/>
  <c r="E100" i="2"/>
  <c r="Q99" i="2"/>
  <c r="F99" i="2"/>
  <c r="G99" i="2" s="1"/>
  <c r="E99" i="2"/>
  <c r="Q98" i="2"/>
  <c r="T98" i="2"/>
  <c r="F98" i="2"/>
  <c r="G98" i="2" s="1"/>
  <c r="E98" i="2"/>
  <c r="K97" i="2"/>
  <c r="F97" i="2"/>
  <c r="K95" i="2"/>
  <c r="F95" i="2"/>
  <c r="G95" i="2" s="1"/>
  <c r="Q94" i="2"/>
  <c r="K94" i="2"/>
  <c r="J94" i="2"/>
  <c r="F94" i="2"/>
  <c r="G94" i="2" s="1"/>
  <c r="E94" i="2"/>
  <c r="Q93" i="2"/>
  <c r="K93" i="2"/>
  <c r="J93" i="2"/>
  <c r="F93" i="2"/>
  <c r="E93" i="2"/>
  <c r="Q92" i="2"/>
  <c r="K92" i="2"/>
  <c r="R92" i="2" s="1"/>
  <c r="J92" i="2"/>
  <c r="F92" i="2"/>
  <c r="E92" i="2"/>
  <c r="O91" i="2"/>
  <c r="M91" i="2"/>
  <c r="H91" i="2"/>
  <c r="Q89" i="2"/>
  <c r="K89" i="2"/>
  <c r="J89" i="2"/>
  <c r="F89" i="2"/>
  <c r="G89" i="2" s="1"/>
  <c r="E89" i="2"/>
  <c r="Q88" i="2"/>
  <c r="K88" i="2"/>
  <c r="J88" i="2"/>
  <c r="F88" i="2"/>
  <c r="G88" i="2" s="1"/>
  <c r="E88" i="2"/>
  <c r="Q87" i="2"/>
  <c r="K87" i="2"/>
  <c r="J87" i="2"/>
  <c r="F87" i="2"/>
  <c r="G87" i="2" s="1"/>
  <c r="E87" i="2"/>
  <c r="Q86" i="2"/>
  <c r="K86" i="2"/>
  <c r="J86" i="2"/>
  <c r="F86" i="2"/>
  <c r="E86" i="2"/>
  <c r="Q85" i="2"/>
  <c r="K85" i="2"/>
  <c r="J85" i="2"/>
  <c r="F85" i="2"/>
  <c r="G85" i="2" s="1"/>
  <c r="E85" i="2"/>
  <c r="Q84" i="2"/>
  <c r="I84" i="2"/>
  <c r="D84" i="2"/>
  <c r="F84" i="2" s="1"/>
  <c r="Q83" i="2"/>
  <c r="K83" i="2"/>
  <c r="R83" i="2" s="1"/>
  <c r="J83" i="2"/>
  <c r="F83" i="2"/>
  <c r="G83" i="2" s="1"/>
  <c r="E83" i="2"/>
  <c r="O82" i="2"/>
  <c r="M82" i="2"/>
  <c r="H82" i="2"/>
  <c r="Q81" i="2"/>
  <c r="S81" i="2"/>
  <c r="F81" i="2"/>
  <c r="E81" i="2"/>
  <c r="Q80" i="2"/>
  <c r="S80" i="2"/>
  <c r="F80" i="2"/>
  <c r="G80" i="2" s="1"/>
  <c r="E80" i="2"/>
  <c r="Q79" i="2"/>
  <c r="K79" i="2"/>
  <c r="J79" i="2"/>
  <c r="F79" i="2"/>
  <c r="G79" i="2" s="1"/>
  <c r="E79" i="2"/>
  <c r="Q78" i="2"/>
  <c r="K78" i="2"/>
  <c r="J78" i="2"/>
  <c r="E78" i="2"/>
  <c r="F78" i="2" s="1"/>
  <c r="I77" i="2"/>
  <c r="H77" i="2"/>
  <c r="Q76" i="2"/>
  <c r="K76" i="2"/>
  <c r="J76" i="2"/>
  <c r="F76" i="2"/>
  <c r="E76" i="2"/>
  <c r="Q75" i="2"/>
  <c r="K75" i="2"/>
  <c r="J75" i="2"/>
  <c r="F75" i="2"/>
  <c r="G75" i="2" s="1"/>
  <c r="E75" i="2"/>
  <c r="Q74" i="2"/>
  <c r="K74" i="2"/>
  <c r="J74" i="2"/>
  <c r="F74" i="2"/>
  <c r="G74" i="2" s="1"/>
  <c r="E74" i="2"/>
  <c r="M73" i="2"/>
  <c r="O71" i="2"/>
  <c r="H71" i="2"/>
  <c r="Q70" i="2"/>
  <c r="K70" i="2"/>
  <c r="R70" i="2" s="1"/>
  <c r="J70" i="2"/>
  <c r="F70" i="2"/>
  <c r="G70" i="2" s="1"/>
  <c r="E70" i="2"/>
  <c r="Q69" i="2"/>
  <c r="K69" i="2"/>
  <c r="R69" i="2" s="1"/>
  <c r="J69" i="2"/>
  <c r="F69" i="2"/>
  <c r="G69" i="2" s="1"/>
  <c r="E69" i="2"/>
  <c r="Q68" i="2"/>
  <c r="K68" i="2"/>
  <c r="J68" i="2"/>
  <c r="F68" i="2"/>
  <c r="G68" i="2" s="1"/>
  <c r="E68" i="2"/>
  <c r="Q67" i="2"/>
  <c r="K67" i="2"/>
  <c r="J67" i="2"/>
  <c r="F67" i="2"/>
  <c r="E67" i="2"/>
  <c r="S66" i="2"/>
  <c r="Q66" i="2"/>
  <c r="N66" i="2"/>
  <c r="L66" i="2"/>
  <c r="J66" i="2"/>
  <c r="G66" i="2"/>
  <c r="E66" i="2"/>
  <c r="Q65" i="2"/>
  <c r="K65" i="2"/>
  <c r="J65" i="2"/>
  <c r="F65" i="2"/>
  <c r="E65" i="2"/>
  <c r="Q64" i="2"/>
  <c r="K64" i="2"/>
  <c r="J64" i="2"/>
  <c r="F64" i="2"/>
  <c r="G64" i="2" s="1"/>
  <c r="E64" i="2"/>
  <c r="Q63" i="2"/>
  <c r="K63" i="2"/>
  <c r="J63" i="2"/>
  <c r="F63" i="2"/>
  <c r="E63" i="2"/>
  <c r="Q62" i="2"/>
  <c r="K62" i="2"/>
  <c r="J62" i="2"/>
  <c r="F62" i="2"/>
  <c r="E62" i="2"/>
  <c r="S61" i="2"/>
  <c r="Q61" i="2"/>
  <c r="N61" i="2"/>
  <c r="Q60" i="2"/>
  <c r="K60" i="2"/>
  <c r="J60" i="2"/>
  <c r="F60" i="2"/>
  <c r="G60" i="2" s="1"/>
  <c r="E60" i="2"/>
  <c r="Q59" i="2"/>
  <c r="K59" i="2"/>
  <c r="J59" i="2"/>
  <c r="F59" i="2"/>
  <c r="G59" i="2" s="1"/>
  <c r="E59" i="2"/>
  <c r="Q58" i="2"/>
  <c r="K58" i="2"/>
  <c r="J58" i="2"/>
  <c r="F58" i="2"/>
  <c r="G58" i="2" s="1"/>
  <c r="E58" i="2"/>
  <c r="Q57" i="2"/>
  <c r="I57" i="2"/>
  <c r="D57" i="2"/>
  <c r="F57" i="2" s="1"/>
  <c r="G57" i="2" s="1"/>
  <c r="Q56" i="2"/>
  <c r="K56" i="2"/>
  <c r="R56" i="2" s="1"/>
  <c r="J56" i="2"/>
  <c r="F56" i="2"/>
  <c r="G56" i="2" s="1"/>
  <c r="E56" i="2"/>
  <c r="Q52" i="2"/>
  <c r="Q53" i="2" s="1"/>
  <c r="K52" i="2"/>
  <c r="J52" i="2"/>
  <c r="F52" i="2"/>
  <c r="E52" i="2"/>
  <c r="O50" i="2"/>
  <c r="M50" i="2"/>
  <c r="Q49" i="2"/>
  <c r="I49" i="2"/>
  <c r="K49" i="2" s="1"/>
  <c r="D49" i="2"/>
  <c r="F49" i="2" s="1"/>
  <c r="Q48" i="2"/>
  <c r="K48" i="2"/>
  <c r="J48" i="2"/>
  <c r="F48" i="2"/>
  <c r="G48" i="2" s="1"/>
  <c r="E48" i="2"/>
  <c r="Q47" i="2"/>
  <c r="K47" i="2"/>
  <c r="J47" i="2"/>
  <c r="F47" i="2"/>
  <c r="G47" i="2" s="1"/>
  <c r="E47" i="2"/>
  <c r="Q46" i="2"/>
  <c r="K46" i="2"/>
  <c r="J46" i="2"/>
  <c r="F46" i="2"/>
  <c r="E46" i="2"/>
  <c r="N43" i="2"/>
  <c r="M43" i="2"/>
  <c r="Q42" i="2"/>
  <c r="K42" i="2"/>
  <c r="R42" i="2" s="1"/>
  <c r="J42" i="2"/>
  <c r="F42" i="2"/>
  <c r="G42" i="2" s="1"/>
  <c r="E42" i="2"/>
  <c r="Q41" i="2"/>
  <c r="I41" i="2"/>
  <c r="J41" i="2" s="1"/>
  <c r="D41" i="2"/>
  <c r="E41" i="2" s="1"/>
  <c r="Q40" i="2"/>
  <c r="I40" i="2"/>
  <c r="J40" i="2" s="1"/>
  <c r="D40" i="2"/>
  <c r="F40" i="2" s="1"/>
  <c r="Q39" i="2"/>
  <c r="I39" i="2"/>
  <c r="K39" i="2" s="1"/>
  <c r="R39" i="2" s="1"/>
  <c r="D39" i="2"/>
  <c r="E39" i="2" s="1"/>
  <c r="Q38" i="2"/>
  <c r="K38" i="2"/>
  <c r="J38" i="2"/>
  <c r="F38" i="2"/>
  <c r="E38" i="2"/>
  <c r="Q37" i="2"/>
  <c r="K37" i="2"/>
  <c r="J37" i="2"/>
  <c r="F37" i="2"/>
  <c r="E37" i="2"/>
  <c r="O35" i="2"/>
  <c r="M35" i="2"/>
  <c r="Q34" i="2"/>
  <c r="K34" i="2"/>
  <c r="R34" i="2" s="1"/>
  <c r="J34" i="2"/>
  <c r="F34" i="2"/>
  <c r="G34" i="2" s="1"/>
  <c r="E34" i="2"/>
  <c r="Q33" i="2"/>
  <c r="I33" i="2"/>
  <c r="K33" i="2" s="1"/>
  <c r="R33" i="2" s="1"/>
  <c r="D33" i="2"/>
  <c r="F33" i="2" s="1"/>
  <c r="Q32" i="2"/>
  <c r="I32" i="2"/>
  <c r="K32" i="2" s="1"/>
  <c r="R32" i="2" s="1"/>
  <c r="D32" i="2"/>
  <c r="F32" i="2" s="1"/>
  <c r="Q31" i="2"/>
  <c r="I31" i="2"/>
  <c r="K31" i="2" s="1"/>
  <c r="R31" i="2" s="1"/>
  <c r="D31" i="2"/>
  <c r="F31" i="2" s="1"/>
  <c r="Q30" i="2"/>
  <c r="K30" i="2"/>
  <c r="J30" i="2"/>
  <c r="F30" i="2"/>
  <c r="E30" i="2"/>
  <c r="Q29" i="2"/>
  <c r="K29" i="2"/>
  <c r="J29" i="2"/>
  <c r="F29" i="2"/>
  <c r="G29" i="2" s="1"/>
  <c r="E29" i="2"/>
  <c r="M26" i="2"/>
  <c r="Q25" i="2"/>
  <c r="I25" i="2"/>
  <c r="J25" i="2" s="1"/>
  <c r="D25" i="2"/>
  <c r="F25" i="2" s="1"/>
  <c r="G25" i="2" s="1"/>
  <c r="Q24" i="2"/>
  <c r="I24" i="2"/>
  <c r="K24" i="2" s="1"/>
  <c r="D24" i="2"/>
  <c r="F24" i="2" s="1"/>
  <c r="G24" i="2" s="1"/>
  <c r="N21" i="2"/>
  <c r="M21" i="2"/>
  <c r="S20" i="2"/>
  <c r="Q20" i="2"/>
  <c r="F20" i="2"/>
  <c r="Q19" i="2"/>
  <c r="I19" i="2"/>
  <c r="K19" i="2" s="1"/>
  <c r="D19" i="2"/>
  <c r="F19" i="2" s="1"/>
  <c r="Q18" i="2"/>
  <c r="K18" i="2"/>
  <c r="J18" i="2"/>
  <c r="F18" i="2"/>
  <c r="G18" i="2" s="1"/>
  <c r="E18" i="2"/>
  <c r="Q17" i="2"/>
  <c r="I17" i="2"/>
  <c r="D17" i="2"/>
  <c r="E17" i="2" s="1"/>
  <c r="O14" i="2"/>
  <c r="K13" i="2"/>
  <c r="R13" i="2" s="1"/>
  <c r="J13" i="2"/>
  <c r="F13" i="2"/>
  <c r="G13" i="2" s="1"/>
  <c r="E13" i="2"/>
  <c r="Q12" i="2"/>
  <c r="K12" i="2"/>
  <c r="J12" i="2"/>
  <c r="F12" i="2"/>
  <c r="G12" i="2" s="1"/>
  <c r="E12" i="2"/>
  <c r="Q11" i="2"/>
  <c r="I11" i="2"/>
  <c r="D11" i="2"/>
  <c r="Q10" i="2"/>
  <c r="K10" i="2"/>
  <c r="J10" i="2"/>
  <c r="F10" i="2"/>
  <c r="G10" i="2" s="1"/>
  <c r="E10" i="2"/>
  <c r="Q9" i="2"/>
  <c r="I9" i="2"/>
  <c r="D9" i="2"/>
  <c r="F9" i="2" s="1"/>
  <c r="P134" i="1"/>
  <c r="N134" i="1"/>
  <c r="T127" i="1"/>
  <c r="P127" i="1"/>
  <c r="N127" i="1"/>
  <c r="T120" i="1"/>
  <c r="P120" i="1"/>
  <c r="N120" i="1"/>
  <c r="U114" i="1"/>
  <c r="T114" i="1"/>
  <c r="P114" i="1"/>
  <c r="N114" i="1"/>
  <c r="T110" i="1"/>
  <c r="P110" i="1"/>
  <c r="N110" i="1"/>
  <c r="T105" i="1"/>
  <c r="P105" i="1"/>
  <c r="N105" i="1"/>
  <c r="T101" i="1"/>
  <c r="P101" i="1"/>
  <c r="N101" i="1"/>
  <c r="U99" i="1"/>
  <c r="T46" i="2" l="1"/>
  <c r="R46" i="2"/>
  <c r="K50" i="2"/>
  <c r="L94" i="2"/>
  <c r="R94" i="2"/>
  <c r="L58" i="2"/>
  <c r="R58" i="2"/>
  <c r="S58" i="2" s="1"/>
  <c r="S88" i="2"/>
  <c r="R88" i="2"/>
  <c r="K119" i="2"/>
  <c r="S19" i="2"/>
  <c r="R19" i="2"/>
  <c r="R24" i="2"/>
  <c r="L38" i="2"/>
  <c r="R38" i="2"/>
  <c r="S38" i="2" s="1"/>
  <c r="L48" i="2"/>
  <c r="R48" i="2"/>
  <c r="S65" i="2"/>
  <c r="R65" i="2"/>
  <c r="T75" i="2"/>
  <c r="R75" i="2"/>
  <c r="L79" i="2"/>
  <c r="R79" i="2"/>
  <c r="T85" i="2"/>
  <c r="R85" i="2"/>
  <c r="S102" i="2"/>
  <c r="R102" i="2"/>
  <c r="T110" i="2"/>
  <c r="R110" i="2"/>
  <c r="K109" i="2"/>
  <c r="S30" i="2"/>
  <c r="R30" i="2"/>
  <c r="R12" i="2"/>
  <c r="S12" i="2" s="1"/>
  <c r="R62" i="2"/>
  <c r="S62" i="2" s="1"/>
  <c r="L95" i="2"/>
  <c r="R95" i="2"/>
  <c r="R29" i="2"/>
  <c r="S29" i="2" s="1"/>
  <c r="K35" i="2"/>
  <c r="R60" i="2"/>
  <c r="S60" i="2" s="1"/>
  <c r="R68" i="2"/>
  <c r="S68" i="2" s="1"/>
  <c r="R93" i="2"/>
  <c r="S93" i="2" s="1"/>
  <c r="T87" i="2"/>
  <c r="R87" i="2"/>
  <c r="N112" i="2"/>
  <c r="R112" i="2"/>
  <c r="S112" i="2" s="1"/>
  <c r="L142" i="2"/>
  <c r="R142" i="2"/>
  <c r="S142" i="2" s="1"/>
  <c r="N63" i="2"/>
  <c r="R63" i="2"/>
  <c r="R52" i="2"/>
  <c r="S52" i="2" s="1"/>
  <c r="S53" i="2" s="1"/>
  <c r="K53" i="2"/>
  <c r="R37" i="2"/>
  <c r="T47" i="2"/>
  <c r="R47" i="2"/>
  <c r="S47" i="2" s="1"/>
  <c r="L49" i="2"/>
  <c r="R49" i="2"/>
  <c r="S49" i="2" s="1"/>
  <c r="T64" i="2"/>
  <c r="R64" i="2"/>
  <c r="S64" i="2" s="1"/>
  <c r="R74" i="2"/>
  <c r="S74" i="2" s="1"/>
  <c r="K73" i="2"/>
  <c r="S78" i="2"/>
  <c r="K77" i="2"/>
  <c r="T77" i="2" s="1"/>
  <c r="R78" i="2"/>
  <c r="L101" i="2"/>
  <c r="R101" i="2"/>
  <c r="T106" i="2"/>
  <c r="R106" i="2"/>
  <c r="L59" i="2"/>
  <c r="R59" i="2"/>
  <c r="S59" i="2" s="1"/>
  <c r="N67" i="2"/>
  <c r="R67" i="2"/>
  <c r="T134" i="2"/>
  <c r="T10" i="2"/>
  <c r="R10" i="2"/>
  <c r="T89" i="2"/>
  <c r="R89" i="2"/>
  <c r="S89" i="2" s="1"/>
  <c r="T18" i="2"/>
  <c r="R18" i="2"/>
  <c r="S18" i="2" s="1"/>
  <c r="T76" i="2"/>
  <c r="R76" i="2"/>
  <c r="S76" i="2" s="1"/>
  <c r="R86" i="2"/>
  <c r="S86" i="2" s="1"/>
  <c r="R103" i="2"/>
  <c r="S103" i="2" s="1"/>
  <c r="L111" i="2"/>
  <c r="R111" i="2"/>
  <c r="S111" i="2" s="1"/>
  <c r="L107" i="2"/>
  <c r="R107" i="2"/>
  <c r="R115" i="2"/>
  <c r="S115" i="2" s="1"/>
  <c r="J84" i="2"/>
  <c r="J82" i="2" s="1"/>
  <c r="I82" i="2"/>
  <c r="M96" i="2"/>
  <c r="P150" i="1"/>
  <c r="N117" i="1"/>
  <c r="R53" i="2"/>
  <c r="P154" i="2"/>
  <c r="M116" i="2"/>
  <c r="T146" i="2"/>
  <c r="J77" i="2"/>
  <c r="Q21" i="2"/>
  <c r="L75" i="2"/>
  <c r="Q73" i="2"/>
  <c r="O75" i="2"/>
  <c r="L103" i="2"/>
  <c r="T60" i="2"/>
  <c r="T81" i="2"/>
  <c r="M65" i="2"/>
  <c r="M71" i="2" s="1"/>
  <c r="N49" i="2"/>
  <c r="N60" i="2"/>
  <c r="T67" i="2"/>
  <c r="N111" i="2"/>
  <c r="L65" i="2"/>
  <c r="S67" i="2"/>
  <c r="T86" i="2"/>
  <c r="Q77" i="2"/>
  <c r="Q91" i="2"/>
  <c r="T111" i="2"/>
  <c r="N59" i="2"/>
  <c r="N79" i="2"/>
  <c r="N77" i="2" s="1"/>
  <c r="Q109" i="2"/>
  <c r="T119" i="2"/>
  <c r="T121" i="2"/>
  <c r="O124" i="2"/>
  <c r="G26" i="2"/>
  <c r="O134" i="2"/>
  <c r="T79" i="2"/>
  <c r="L85" i="2"/>
  <c r="F91" i="2"/>
  <c r="J19" i="2"/>
  <c r="S85" i="2"/>
  <c r="F50" i="2"/>
  <c r="T78" i="2"/>
  <c r="K84" i="2"/>
  <c r="L89" i="2"/>
  <c r="E24" i="2"/>
  <c r="L120" i="2"/>
  <c r="Q50" i="2"/>
  <c r="S48" i="2"/>
  <c r="T63" i="2"/>
  <c r="N70" i="2"/>
  <c r="O120" i="2"/>
  <c r="T128" i="2"/>
  <c r="S10" i="2"/>
  <c r="K25" i="2"/>
  <c r="K26" i="2" s="1"/>
  <c r="M44" i="2"/>
  <c r="T48" i="2"/>
  <c r="E84" i="2"/>
  <c r="S107" i="2"/>
  <c r="F109" i="2"/>
  <c r="L121" i="2"/>
  <c r="M149" i="2"/>
  <c r="E25" i="2"/>
  <c r="N58" i="2"/>
  <c r="S63" i="2"/>
  <c r="L70" i="2"/>
  <c r="T13" i="2"/>
  <c r="Q26" i="2"/>
  <c r="L60" i="2"/>
  <c r="S70" i="2"/>
  <c r="F77" i="2"/>
  <c r="T107" i="2"/>
  <c r="R120" i="2"/>
  <c r="O121" i="2"/>
  <c r="R127" i="2"/>
  <c r="J91" i="2"/>
  <c r="Q119" i="2"/>
  <c r="L62" i="2"/>
  <c r="L64" i="2"/>
  <c r="L87" i="2"/>
  <c r="N93" i="2"/>
  <c r="L98" i="2"/>
  <c r="T122" i="2"/>
  <c r="T130" i="2"/>
  <c r="G137" i="2"/>
  <c r="N12" i="2"/>
  <c r="J24" i="2"/>
  <c r="F26" i="2"/>
  <c r="Q43" i="2"/>
  <c r="L52" i="2"/>
  <c r="L53" i="2" s="1"/>
  <c r="N62" i="2"/>
  <c r="N64" i="2"/>
  <c r="N68" i="2"/>
  <c r="S75" i="2"/>
  <c r="N101" i="2"/>
  <c r="L124" i="2"/>
  <c r="S13" i="2"/>
  <c r="L74" i="2"/>
  <c r="S87" i="2"/>
  <c r="N88" i="2"/>
  <c r="S98" i="2"/>
  <c r="L106" i="2"/>
  <c r="N110" i="2"/>
  <c r="L112" i="2"/>
  <c r="L115" i="2"/>
  <c r="L122" i="2"/>
  <c r="L130" i="2"/>
  <c r="G131" i="2"/>
  <c r="G135" i="2"/>
  <c r="L12" i="2"/>
  <c r="L67" i="2"/>
  <c r="F82" i="2"/>
  <c r="L86" i="2"/>
  <c r="S101" i="2"/>
  <c r="N115" i="2"/>
  <c r="T120" i="2"/>
  <c r="O122" i="2"/>
  <c r="R124" i="2"/>
  <c r="S124" i="2" s="1"/>
  <c r="N130" i="2"/>
  <c r="T93" i="2"/>
  <c r="L30" i="2"/>
  <c r="G38" i="2"/>
  <c r="L63" i="2"/>
  <c r="T12" i="2"/>
  <c r="L13" i="2"/>
  <c r="Q35" i="2"/>
  <c r="N48" i="2"/>
  <c r="N69" i="2"/>
  <c r="M13" i="2"/>
  <c r="M14" i="2" s="1"/>
  <c r="M22" i="2" s="1"/>
  <c r="T58" i="2"/>
  <c r="N86" i="2"/>
  <c r="T101" i="2"/>
  <c r="N102" i="2"/>
  <c r="S106" i="2"/>
  <c r="T115" i="2"/>
  <c r="N127" i="2"/>
  <c r="G130" i="2"/>
  <c r="L134" i="2"/>
  <c r="L68" i="2"/>
  <c r="T74" i="2"/>
  <c r="T80" i="2"/>
  <c r="T88" i="2"/>
  <c r="Q100" i="2"/>
  <c r="T112" i="2"/>
  <c r="Q126" i="2"/>
  <c r="G33" i="2"/>
  <c r="I71" i="2"/>
  <c r="K57" i="2"/>
  <c r="J57" i="2"/>
  <c r="J71" i="2" s="1"/>
  <c r="J11" i="2"/>
  <c r="K11" i="2"/>
  <c r="R11" i="2" s="1"/>
  <c r="G19" i="2"/>
  <c r="E19" i="2"/>
  <c r="G30" i="2"/>
  <c r="T32" i="2"/>
  <c r="N32" i="2"/>
  <c r="L32" i="2"/>
  <c r="S32" i="2"/>
  <c r="T31" i="2"/>
  <c r="N31" i="2"/>
  <c r="L31" i="2"/>
  <c r="S31" i="2"/>
  <c r="F35" i="2"/>
  <c r="G40" i="2"/>
  <c r="F11" i="2"/>
  <c r="F14" i="2" s="1"/>
  <c r="E11" i="2"/>
  <c r="T33" i="2"/>
  <c r="N33" i="2"/>
  <c r="L33" i="2"/>
  <c r="S33" i="2"/>
  <c r="S39" i="2"/>
  <c r="T39" i="2"/>
  <c r="O39" i="2"/>
  <c r="L39" i="2"/>
  <c r="G20" i="2"/>
  <c r="T24" i="2"/>
  <c r="N24" i="2"/>
  <c r="N26" i="2" s="1"/>
  <c r="L24" i="2"/>
  <c r="G62" i="2"/>
  <c r="G65" i="2"/>
  <c r="G32" i="2"/>
  <c r="G9" i="2"/>
  <c r="Q13" i="2"/>
  <c r="Q14" i="2" s="1"/>
  <c r="L19" i="2"/>
  <c r="T19" i="2"/>
  <c r="O19" i="2"/>
  <c r="G31" i="2"/>
  <c r="S34" i="2"/>
  <c r="L34" i="2"/>
  <c r="T34" i="2"/>
  <c r="N34" i="2"/>
  <c r="N46" i="2"/>
  <c r="L46" i="2"/>
  <c r="T83" i="2"/>
  <c r="N83" i="2"/>
  <c r="L83" i="2"/>
  <c r="R136" i="2"/>
  <c r="T136" i="2"/>
  <c r="O136" i="2"/>
  <c r="L136" i="2"/>
  <c r="L47" i="2"/>
  <c r="J17" i="2"/>
  <c r="L18" i="2"/>
  <c r="J39" i="2"/>
  <c r="E40" i="2"/>
  <c r="K41" i="2"/>
  <c r="R41" i="2" s="1"/>
  <c r="T42" i="2"/>
  <c r="O42" i="2"/>
  <c r="L42" i="2"/>
  <c r="N47" i="2"/>
  <c r="E57" i="2"/>
  <c r="Q82" i="2"/>
  <c r="F100" i="2"/>
  <c r="G102" i="2"/>
  <c r="G100" i="2" s="1"/>
  <c r="G107" i="2"/>
  <c r="O107" i="2" s="1"/>
  <c r="E9" i="2"/>
  <c r="J9" i="2"/>
  <c r="L10" i="2"/>
  <c r="F17" i="2"/>
  <c r="K17" i="2"/>
  <c r="O18" i="2"/>
  <c r="L29" i="2"/>
  <c r="E31" i="2"/>
  <c r="J31" i="2"/>
  <c r="E32" i="2"/>
  <c r="J32" i="2"/>
  <c r="E33" i="2"/>
  <c r="J33" i="2"/>
  <c r="G37" i="2"/>
  <c r="F39" i="2"/>
  <c r="K40" i="2"/>
  <c r="R40" i="2" s="1"/>
  <c r="F41" i="2"/>
  <c r="Q71" i="2"/>
  <c r="N76" i="2"/>
  <c r="S99" i="2"/>
  <c r="T99" i="2"/>
  <c r="T114" i="2"/>
  <c r="L114" i="2"/>
  <c r="K113" i="2"/>
  <c r="R113" i="2" s="1"/>
  <c r="S114" i="2"/>
  <c r="N114" i="2"/>
  <c r="T137" i="2"/>
  <c r="O137" i="2"/>
  <c r="L137" i="2"/>
  <c r="R137" i="2"/>
  <c r="S137" i="2" s="1"/>
  <c r="F113" i="2"/>
  <c r="G115" i="2"/>
  <c r="G113" i="2" s="1"/>
  <c r="T94" i="2"/>
  <c r="N94" i="2"/>
  <c r="S94" i="2"/>
  <c r="K9" i="2"/>
  <c r="N10" i="2"/>
  <c r="J49" i="2"/>
  <c r="T52" i="2"/>
  <c r="N52" i="2"/>
  <c r="N53" i="2" s="1"/>
  <c r="F71" i="2"/>
  <c r="T65" i="2"/>
  <c r="L76" i="2"/>
  <c r="L99" i="2"/>
  <c r="G46" i="2"/>
  <c r="L37" i="2"/>
  <c r="S42" i="2"/>
  <c r="G49" i="2"/>
  <c r="T62" i="2"/>
  <c r="T92" i="2"/>
  <c r="L92" i="2"/>
  <c r="K91" i="2"/>
  <c r="S138" i="2"/>
  <c r="O138" i="2"/>
  <c r="L138" i="2"/>
  <c r="T138" i="2"/>
  <c r="E49" i="2"/>
  <c r="F53" i="2"/>
  <c r="G53" i="2" s="1"/>
  <c r="G52" i="2"/>
  <c r="S56" i="2"/>
  <c r="G84" i="2"/>
  <c r="G86" i="2"/>
  <c r="Q108" i="2"/>
  <c r="T108" i="2"/>
  <c r="G92" i="2"/>
  <c r="L131" i="2"/>
  <c r="R131" i="2"/>
  <c r="S131" i="2" s="1"/>
  <c r="T131" i="2"/>
  <c r="F133" i="2"/>
  <c r="G63" i="2"/>
  <c r="G67" i="2"/>
  <c r="F73" i="2"/>
  <c r="G76" i="2"/>
  <c r="G73" i="2" s="1"/>
  <c r="L78" i="2"/>
  <c r="L80" i="2"/>
  <c r="L88" i="2"/>
  <c r="L93" i="2"/>
  <c r="R108" i="2"/>
  <c r="S108" i="2" s="1"/>
  <c r="N131" i="2"/>
  <c r="G134" i="2"/>
  <c r="G136" i="2"/>
  <c r="L56" i="2"/>
  <c r="L69" i="2"/>
  <c r="S69" i="2"/>
  <c r="G78" i="2"/>
  <c r="G77" i="2" s="1"/>
  <c r="G81" i="2"/>
  <c r="G93" i="2"/>
  <c r="G108" i="2"/>
  <c r="N108" i="2"/>
  <c r="R118" i="2"/>
  <c r="L118" i="2"/>
  <c r="T139" i="2"/>
  <c r="O139" i="2"/>
  <c r="L139" i="2"/>
  <c r="R139" i="2"/>
  <c r="T102" i="2"/>
  <c r="G120" i="2"/>
  <c r="O123" i="2"/>
  <c r="T123" i="2"/>
  <c r="L123" i="2"/>
  <c r="K100" i="2"/>
  <c r="R100" i="2" s="1"/>
  <c r="T103" i="2"/>
  <c r="N103" i="2"/>
  <c r="S105" i="2"/>
  <c r="K104" i="2"/>
  <c r="T105" i="2"/>
  <c r="L105" i="2"/>
  <c r="G106" i="2"/>
  <c r="F104" i="2"/>
  <c r="G118" i="2"/>
  <c r="L128" i="2"/>
  <c r="T135" i="2"/>
  <c r="L135" i="2"/>
  <c r="R135" i="2"/>
  <c r="S135" i="2" s="1"/>
  <c r="G138" i="2"/>
  <c r="G142" i="2"/>
  <c r="S146" i="2"/>
  <c r="N146" i="2"/>
  <c r="Q104" i="2"/>
  <c r="G122" i="2"/>
  <c r="N128" i="2"/>
  <c r="O135" i="2"/>
  <c r="N85" i="2"/>
  <c r="N87" i="2"/>
  <c r="N89" i="2"/>
  <c r="L102" i="2"/>
  <c r="G111" i="2"/>
  <c r="G109" i="2" s="1"/>
  <c r="F119" i="2"/>
  <c r="R123" i="2"/>
  <c r="S123" i="2" s="1"/>
  <c r="T132" i="2"/>
  <c r="N132" i="2"/>
  <c r="S132" i="2"/>
  <c r="L132" i="2"/>
  <c r="K126" i="2"/>
  <c r="T129" i="2"/>
  <c r="N129" i="2"/>
  <c r="R134" i="2"/>
  <c r="L110" i="2"/>
  <c r="F126" i="2"/>
  <c r="L129" i="2"/>
  <c r="T143" i="2"/>
  <c r="O143" i="2"/>
  <c r="S143" i="2"/>
  <c r="L127" i="2"/>
  <c r="P117" i="1"/>
  <c r="N150" i="1"/>
  <c r="P155" i="2" l="1"/>
  <c r="P156" i="2" s="1"/>
  <c r="S139" i="2"/>
  <c r="R17" i="2"/>
  <c r="K21" i="2"/>
  <c r="L77" i="2"/>
  <c r="R104" i="2"/>
  <c r="S104" i="2" s="1"/>
  <c r="K71" i="2"/>
  <c r="R57" i="2"/>
  <c r="K43" i="2"/>
  <c r="K44" i="2" s="1"/>
  <c r="R9" i="2"/>
  <c r="K14" i="2"/>
  <c r="S25" i="2"/>
  <c r="R25" i="2"/>
  <c r="T84" i="2"/>
  <c r="R84" i="2"/>
  <c r="S84" i="2" s="1"/>
  <c r="L133" i="2"/>
  <c r="L149" i="2" s="1"/>
  <c r="S136" i="2"/>
  <c r="R126" i="2"/>
  <c r="K82" i="2"/>
  <c r="K96" i="2" s="1"/>
  <c r="K22" i="2"/>
  <c r="S118" i="2"/>
  <c r="K116" i="2"/>
  <c r="S110" i="2"/>
  <c r="S109" i="2" s="1"/>
  <c r="R109" i="2"/>
  <c r="S127" i="2"/>
  <c r="S126" i="2" s="1"/>
  <c r="Q116" i="2"/>
  <c r="Q22" i="2"/>
  <c r="S120" i="2"/>
  <c r="S119" i="2" s="1"/>
  <c r="R119" i="2"/>
  <c r="L100" i="2"/>
  <c r="L25" i="2"/>
  <c r="L26" i="2" s="1"/>
  <c r="N109" i="2"/>
  <c r="Q149" i="2"/>
  <c r="L109" i="2"/>
  <c r="O73" i="2"/>
  <c r="O96" i="2" s="1"/>
  <c r="Q96" i="2"/>
  <c r="N84" i="2"/>
  <c r="N82" i="2" s="1"/>
  <c r="T25" i="2"/>
  <c r="O25" i="2"/>
  <c r="O26" i="2" s="1"/>
  <c r="N91" i="2"/>
  <c r="L84" i="2"/>
  <c r="L82" i="2" s="1"/>
  <c r="N71" i="2"/>
  <c r="O119" i="2"/>
  <c r="G91" i="2"/>
  <c r="L113" i="2"/>
  <c r="XEH132" i="2"/>
  <c r="L104" i="2"/>
  <c r="G126" i="2"/>
  <c r="L73" i="2"/>
  <c r="Q44" i="2"/>
  <c r="F116" i="2"/>
  <c r="N100" i="2"/>
  <c r="R73" i="2"/>
  <c r="G71" i="2"/>
  <c r="L119" i="2"/>
  <c r="F96" i="2"/>
  <c r="G50" i="2"/>
  <c r="F149" i="2"/>
  <c r="G35" i="2"/>
  <c r="M151" i="2"/>
  <c r="N50" i="2"/>
  <c r="S35" i="2"/>
  <c r="R77" i="2"/>
  <c r="S79" i="2"/>
  <c r="S77" i="2" s="1"/>
  <c r="O133" i="2"/>
  <c r="XEH131" i="2"/>
  <c r="M54" i="2"/>
  <c r="N113" i="2"/>
  <c r="S92" i="2"/>
  <c r="S91" i="2" s="1"/>
  <c r="R91" i="2"/>
  <c r="G11" i="2"/>
  <c r="G14" i="2" s="1"/>
  <c r="L126" i="2"/>
  <c r="O106" i="2"/>
  <c r="O104" i="2" s="1"/>
  <c r="O116" i="2" s="1"/>
  <c r="G104" i="2"/>
  <c r="G116" i="2" s="1"/>
  <c r="G119" i="2"/>
  <c r="S73" i="2"/>
  <c r="T17" i="2"/>
  <c r="O17" i="2"/>
  <c r="O21" i="2" s="1"/>
  <c r="O22" i="2" s="1"/>
  <c r="L17" i="2"/>
  <c r="L21" i="2" s="1"/>
  <c r="T11" i="2"/>
  <c r="N11" i="2"/>
  <c r="L11" i="2"/>
  <c r="S11" i="2"/>
  <c r="S113" i="2"/>
  <c r="T113" i="2"/>
  <c r="G41" i="2"/>
  <c r="G39" i="2"/>
  <c r="T104" i="2"/>
  <c r="N126" i="2"/>
  <c r="N149" i="2" s="1"/>
  <c r="G17" i="2"/>
  <c r="G21" i="2" s="1"/>
  <c r="F21" i="2"/>
  <c r="F22" i="2" s="1"/>
  <c r="R35" i="2"/>
  <c r="N35" i="2"/>
  <c r="N44" i="2" s="1"/>
  <c r="R26" i="2"/>
  <c r="S24" i="2"/>
  <c r="S26" i="2" s="1"/>
  <c r="L91" i="2"/>
  <c r="T73" i="2"/>
  <c r="L57" i="2"/>
  <c r="L71" i="2" s="1"/>
  <c r="G82" i="2"/>
  <c r="S37" i="2"/>
  <c r="T9" i="2"/>
  <c r="N9" i="2"/>
  <c r="L9" i="2"/>
  <c r="S41" i="2"/>
  <c r="O41" i="2"/>
  <c r="T41" i="2"/>
  <c r="L41" i="2"/>
  <c r="S83" i="2"/>
  <c r="S46" i="2"/>
  <c r="S50" i="2" s="1"/>
  <c r="R50" i="2"/>
  <c r="S134" i="2"/>
  <c r="T40" i="2"/>
  <c r="O40" i="2"/>
  <c r="S40" i="2"/>
  <c r="L40" i="2"/>
  <c r="L35" i="2"/>
  <c r="G133" i="2"/>
  <c r="N73" i="2"/>
  <c r="L50" i="2"/>
  <c r="F43" i="2"/>
  <c r="F44" i="2" s="1"/>
  <c r="P92" i="1"/>
  <c r="N92" i="1"/>
  <c r="P83" i="1"/>
  <c r="N83" i="1"/>
  <c r="O81" i="1"/>
  <c r="T78" i="1"/>
  <c r="P78" i="1"/>
  <c r="N78" i="1"/>
  <c r="T74" i="1"/>
  <c r="P74" i="1"/>
  <c r="N74" i="1"/>
  <c r="K54" i="2" l="1"/>
  <c r="S82" i="2"/>
  <c r="S96" i="2" s="1"/>
  <c r="R149" i="2"/>
  <c r="T116" i="2"/>
  <c r="R82" i="2"/>
  <c r="R96" i="2" s="1"/>
  <c r="Q151" i="2"/>
  <c r="T151" i="2"/>
  <c r="Q54" i="2"/>
  <c r="S116" i="2"/>
  <c r="S149" i="2"/>
  <c r="N116" i="2"/>
  <c r="T149" i="2"/>
  <c r="L116" i="2"/>
  <c r="L96" i="2"/>
  <c r="L151" i="2" s="1"/>
  <c r="N96" i="2"/>
  <c r="R116" i="2"/>
  <c r="L43" i="2"/>
  <c r="L44" i="2" s="1"/>
  <c r="G43" i="2"/>
  <c r="G44" i="2" s="1"/>
  <c r="G96" i="2"/>
  <c r="O149" i="2"/>
  <c r="O151" i="2" s="1"/>
  <c r="F151" i="2"/>
  <c r="M152" i="2"/>
  <c r="M154" i="2" s="1"/>
  <c r="O43" i="2"/>
  <c r="O44" i="2" s="1"/>
  <c r="O54" i="2" s="1"/>
  <c r="XEH128" i="2"/>
  <c r="G149" i="2"/>
  <c r="XEH130" i="2"/>
  <c r="F54" i="2"/>
  <c r="S9" i="2"/>
  <c r="S14" i="2" s="1"/>
  <c r="R14" i="2"/>
  <c r="L14" i="2"/>
  <c r="L22" i="2" s="1"/>
  <c r="N14" i="2"/>
  <c r="N22" i="2" s="1"/>
  <c r="N54" i="2" s="1"/>
  <c r="S43" i="2"/>
  <c r="S44" i="2" s="1"/>
  <c r="S57" i="2"/>
  <c r="S71" i="2" s="1"/>
  <c r="R71" i="2"/>
  <c r="S17" i="2"/>
  <c r="S21" i="2" s="1"/>
  <c r="R21" i="2"/>
  <c r="R43" i="2"/>
  <c r="R44" i="2" s="1"/>
  <c r="G22" i="2"/>
  <c r="T97" i="1"/>
  <c r="P97" i="1"/>
  <c r="N97" i="1"/>
  <c r="T13" i="1"/>
  <c r="T14" i="1" s="1"/>
  <c r="T22" i="1" s="1"/>
  <c r="Q155" i="2" l="1"/>
  <c r="R151" i="2"/>
  <c r="Q152" i="2"/>
  <c r="Q154" i="2" s="1"/>
  <c r="N151" i="2"/>
  <c r="N152" i="2" s="1"/>
  <c r="N154" i="2" s="1"/>
  <c r="N156" i="2" s="1"/>
  <c r="N159" i="2" s="1"/>
  <c r="S151" i="2"/>
  <c r="G151" i="2"/>
  <c r="G54" i="2"/>
  <c r="G152" i="2" s="1"/>
  <c r="G154" i="2" s="1"/>
  <c r="K152" i="2"/>
  <c r="K154" i="2" s="1"/>
  <c r="S22" i="2"/>
  <c r="S54" i="2" s="1"/>
  <c r="XEH127" i="2"/>
  <c r="L54" i="2"/>
  <c r="L152" i="2" s="1"/>
  <c r="L154" i="2" s="1"/>
  <c r="O152" i="2"/>
  <c r="O154" i="2" s="1"/>
  <c r="O156" i="2" s="1"/>
  <c r="O159" i="2" s="1"/>
  <c r="F152" i="2"/>
  <c r="F154" i="2" s="1"/>
  <c r="R22" i="2"/>
  <c r="R54" i="2" s="1"/>
  <c r="O115" i="1"/>
  <c r="Q115" i="1"/>
  <c r="Q114" i="1" s="1"/>
  <c r="R115" i="1"/>
  <c r="O116" i="1"/>
  <c r="Q116" i="1"/>
  <c r="R116" i="1"/>
  <c r="V116" i="1" s="1"/>
  <c r="Q156" i="2" l="1"/>
  <c r="Q159" i="2" s="1"/>
  <c r="K155" i="2"/>
  <c r="R155" i="2" s="1"/>
  <c r="S155" i="2" s="1"/>
  <c r="S152" i="2"/>
  <c r="R152" i="2"/>
  <c r="R154" i="2" s="1"/>
  <c r="T152" i="2"/>
  <c r="T154" i="2"/>
  <c r="G155" i="2"/>
  <c r="G156" i="2" s="1"/>
  <c r="G159" i="2" s="1"/>
  <c r="F155" i="2"/>
  <c r="S116" i="1"/>
  <c r="O114" i="1"/>
  <c r="S115" i="1"/>
  <c r="R114" i="1"/>
  <c r="W116" i="1"/>
  <c r="V115" i="1"/>
  <c r="V114" i="1" s="1"/>
  <c r="Z114" i="1" s="1"/>
  <c r="AA114" i="1" s="1"/>
  <c r="L108" i="1"/>
  <c r="L107" i="1"/>
  <c r="L106" i="1"/>
  <c r="L104" i="1"/>
  <c r="N72" i="1"/>
  <c r="N50" i="1"/>
  <c r="N43" i="1"/>
  <c r="N35" i="1"/>
  <c r="N26" i="1"/>
  <c r="N21" i="1"/>
  <c r="N14" i="1"/>
  <c r="S114" i="1" l="1"/>
  <c r="N22" i="1"/>
  <c r="M155" i="2"/>
  <c r="M156" i="2" s="1"/>
  <c r="M159" i="2" s="1"/>
  <c r="K159" i="2"/>
  <c r="N44" i="1"/>
  <c r="P159" i="2"/>
  <c r="L155" i="2"/>
  <c r="L156" i="2" s="1"/>
  <c r="S154" i="2"/>
  <c r="S156" i="2" s="1"/>
  <c r="S159" i="2" s="1"/>
  <c r="R156" i="2"/>
  <c r="R159" i="2" s="1"/>
  <c r="F156" i="2"/>
  <c r="W115" i="1"/>
  <c r="W114" i="1" s="1"/>
  <c r="L105" i="1"/>
  <c r="R95" i="1"/>
  <c r="V95" i="1" s="1"/>
  <c r="L81" i="1"/>
  <c r="T50" i="1"/>
  <c r="T156" i="2" l="1"/>
  <c r="T159" i="2"/>
  <c r="L159" i="2"/>
  <c r="F159" i="2"/>
  <c r="T35" i="1"/>
  <c r="T72" i="1"/>
  <c r="T150" i="1"/>
  <c r="R71" i="1"/>
  <c r="V71" i="1" s="1"/>
  <c r="Z71" i="1" s="1"/>
  <c r="AA71" i="1" s="1"/>
  <c r="U119" i="1" l="1"/>
  <c r="T109" i="1"/>
  <c r="T117" i="1" s="1"/>
  <c r="T151" i="1" s="1"/>
  <c r="U100" i="1"/>
  <c r="U102" i="1"/>
  <c r="U103" i="1"/>
  <c r="U104" i="1"/>
  <c r="U106" i="1"/>
  <c r="U107" i="1"/>
  <c r="U108" i="1"/>
  <c r="U101" i="1" l="1"/>
  <c r="U105" i="1"/>
  <c r="O119" i="1"/>
  <c r="R119" i="1"/>
  <c r="Q119" i="1"/>
  <c r="R99" i="1"/>
  <c r="R100" i="1"/>
  <c r="V100" i="1" s="1"/>
  <c r="Z100" i="1" s="1"/>
  <c r="AA100" i="1" s="1"/>
  <c r="R102" i="1"/>
  <c r="R103" i="1"/>
  <c r="R104" i="1"/>
  <c r="R106" i="1"/>
  <c r="R107" i="1"/>
  <c r="R108" i="1"/>
  <c r="Q99" i="1"/>
  <c r="Q100" i="1"/>
  <c r="Q102" i="1"/>
  <c r="Q103" i="1"/>
  <c r="Q104" i="1"/>
  <c r="Q106" i="1"/>
  <c r="Q107" i="1"/>
  <c r="Q108" i="1"/>
  <c r="O99" i="1"/>
  <c r="O100" i="1"/>
  <c r="O102" i="1"/>
  <c r="O103" i="1"/>
  <c r="O104" i="1"/>
  <c r="O106" i="1"/>
  <c r="O107" i="1"/>
  <c r="O108" i="1"/>
  <c r="O105" i="1" l="1"/>
  <c r="R105" i="1"/>
  <c r="V119" i="1"/>
  <c r="Z119" i="1" s="1"/>
  <c r="Q105" i="1"/>
  <c r="O101" i="1"/>
  <c r="Q101" i="1"/>
  <c r="R101" i="1"/>
  <c r="S102" i="1"/>
  <c r="V102" i="1"/>
  <c r="Z102" i="1" s="1"/>
  <c r="AA102" i="1" s="1"/>
  <c r="W100" i="1"/>
  <c r="S108" i="1"/>
  <c r="V108" i="1"/>
  <c r="Z108" i="1" s="1"/>
  <c r="AA108" i="1" s="1"/>
  <c r="S107" i="1"/>
  <c r="V107" i="1"/>
  <c r="Z107" i="1" s="1"/>
  <c r="AA107" i="1" s="1"/>
  <c r="S99" i="1"/>
  <c r="V99" i="1"/>
  <c r="Z99" i="1" s="1"/>
  <c r="S106" i="1"/>
  <c r="V106" i="1"/>
  <c r="Z106" i="1" s="1"/>
  <c r="AA106" i="1" s="1"/>
  <c r="S104" i="1"/>
  <c r="V104" i="1"/>
  <c r="Z104" i="1" s="1"/>
  <c r="AA104" i="1" s="1"/>
  <c r="S103" i="1"/>
  <c r="V103" i="1"/>
  <c r="Z103" i="1" s="1"/>
  <c r="AA103" i="1" s="1"/>
  <c r="S119" i="1"/>
  <c r="S100" i="1"/>
  <c r="AA119" i="1" l="1"/>
  <c r="AA99" i="1"/>
  <c r="S101" i="1"/>
  <c r="V105" i="1"/>
  <c r="Z105" i="1" s="1"/>
  <c r="AA105" i="1" s="1"/>
  <c r="V101" i="1"/>
  <c r="Z101" i="1" s="1"/>
  <c r="AA101" i="1" s="1"/>
  <c r="S105" i="1"/>
  <c r="W119" i="1"/>
  <c r="AC107" i="1"/>
  <c r="W107" i="1"/>
  <c r="AC104" i="1"/>
  <c r="W104" i="1"/>
  <c r="AC108" i="1"/>
  <c r="W108" i="1"/>
  <c r="W106" i="1"/>
  <c r="W99" i="1"/>
  <c r="W102" i="1"/>
  <c r="W103" i="1"/>
  <c r="P53" i="1"/>
  <c r="N53" i="1"/>
  <c r="N54" i="1" s="1"/>
  <c r="P72" i="1"/>
  <c r="P50" i="1"/>
  <c r="P43" i="1"/>
  <c r="T43" i="1"/>
  <c r="T44" i="1" s="1"/>
  <c r="P35" i="1"/>
  <c r="P26" i="1"/>
  <c r="P21" i="1"/>
  <c r="P14" i="1"/>
  <c r="U9" i="1"/>
  <c r="W71" i="1"/>
  <c r="U153" i="1"/>
  <c r="U147" i="1"/>
  <c r="U144" i="1"/>
  <c r="U143" i="1"/>
  <c r="U140" i="1"/>
  <c r="U139" i="1"/>
  <c r="U138" i="1"/>
  <c r="U137" i="1"/>
  <c r="U136" i="1"/>
  <c r="U135" i="1"/>
  <c r="U133" i="1"/>
  <c r="U132" i="1"/>
  <c r="U131" i="1"/>
  <c r="U130" i="1"/>
  <c r="U129" i="1"/>
  <c r="U128" i="1"/>
  <c r="U125" i="1"/>
  <c r="U124" i="1"/>
  <c r="U123" i="1"/>
  <c r="U122" i="1"/>
  <c r="U121" i="1"/>
  <c r="U113" i="1"/>
  <c r="U112" i="1"/>
  <c r="U111" i="1"/>
  <c r="U109" i="1"/>
  <c r="U95" i="1"/>
  <c r="U94" i="1"/>
  <c r="U93" i="1"/>
  <c r="U90" i="1"/>
  <c r="U89" i="1"/>
  <c r="U88" i="1"/>
  <c r="U87" i="1"/>
  <c r="U86" i="1"/>
  <c r="U85" i="1"/>
  <c r="U84" i="1"/>
  <c r="U82" i="1"/>
  <c r="U81" i="1"/>
  <c r="U80" i="1"/>
  <c r="U79" i="1"/>
  <c r="U77" i="1"/>
  <c r="U76" i="1"/>
  <c r="U75" i="1"/>
  <c r="U71" i="1"/>
  <c r="U70" i="1"/>
  <c r="U69" i="1"/>
  <c r="U68" i="1"/>
  <c r="U67" i="1"/>
  <c r="U66" i="1"/>
  <c r="U65" i="1"/>
  <c r="U64" i="1"/>
  <c r="U63" i="1"/>
  <c r="U62" i="1"/>
  <c r="U61" i="1"/>
  <c r="U60" i="1"/>
  <c r="U59" i="1"/>
  <c r="U58" i="1"/>
  <c r="U57" i="1"/>
  <c r="U52" i="1"/>
  <c r="U49" i="1"/>
  <c r="U48" i="1"/>
  <c r="U47" i="1"/>
  <c r="U46" i="1"/>
  <c r="U42" i="1"/>
  <c r="U41" i="1"/>
  <c r="U40" i="1"/>
  <c r="U39" i="1"/>
  <c r="U38" i="1"/>
  <c r="U37" i="1"/>
  <c r="U34" i="1"/>
  <c r="U33" i="1"/>
  <c r="U32" i="1"/>
  <c r="U31" i="1"/>
  <c r="U30" i="1"/>
  <c r="U29" i="1"/>
  <c r="U25" i="1"/>
  <c r="U24" i="1"/>
  <c r="U20" i="1"/>
  <c r="U19" i="1"/>
  <c r="U18" i="1"/>
  <c r="U17" i="1"/>
  <c r="U10" i="1"/>
  <c r="U11" i="1"/>
  <c r="U12" i="1"/>
  <c r="U13" i="1"/>
  <c r="Q153" i="1"/>
  <c r="Q147" i="1"/>
  <c r="Q144" i="1"/>
  <c r="Q143" i="1"/>
  <c r="Q140" i="1"/>
  <c r="Q139" i="1"/>
  <c r="Q138" i="1"/>
  <c r="Q137" i="1"/>
  <c r="Q136" i="1"/>
  <c r="Q135" i="1"/>
  <c r="Q133" i="1"/>
  <c r="Q132" i="1"/>
  <c r="Q131" i="1"/>
  <c r="Q130" i="1"/>
  <c r="Q129" i="1"/>
  <c r="Q128" i="1"/>
  <c r="Q126" i="1"/>
  <c r="Q125" i="1"/>
  <c r="Q124" i="1"/>
  <c r="Q123" i="1"/>
  <c r="Q122" i="1"/>
  <c r="Q121" i="1"/>
  <c r="Q113" i="1"/>
  <c r="Q112" i="1"/>
  <c r="Q111" i="1"/>
  <c r="Q109" i="1"/>
  <c r="Q95" i="1"/>
  <c r="Q94" i="1"/>
  <c r="Q93" i="1"/>
  <c r="Q90" i="1"/>
  <c r="Q89" i="1"/>
  <c r="Q88" i="1"/>
  <c r="Q87" i="1"/>
  <c r="Q86" i="1"/>
  <c r="Q85" i="1"/>
  <c r="Q84" i="1"/>
  <c r="Q82" i="1"/>
  <c r="Q81" i="1"/>
  <c r="Q80" i="1"/>
  <c r="Q79" i="1"/>
  <c r="Q77" i="1"/>
  <c r="Q76" i="1"/>
  <c r="Q75" i="1"/>
  <c r="Q71" i="1"/>
  <c r="Q70" i="1"/>
  <c r="Q69" i="1"/>
  <c r="Q68" i="1"/>
  <c r="Q67" i="1"/>
  <c r="Q66" i="1"/>
  <c r="Q65" i="1"/>
  <c r="Q64" i="1"/>
  <c r="Q63" i="1"/>
  <c r="Q62" i="1"/>
  <c r="Q61" i="1"/>
  <c r="Q60" i="1"/>
  <c r="Q59" i="1"/>
  <c r="Q58" i="1"/>
  <c r="Q57" i="1"/>
  <c r="Q52" i="1"/>
  <c r="Q53" i="1" s="1"/>
  <c r="Q49" i="1"/>
  <c r="Q48" i="1"/>
  <c r="Q47" i="1"/>
  <c r="Q46" i="1"/>
  <c r="Q42" i="1"/>
  <c r="Q41" i="1"/>
  <c r="Q40" i="1"/>
  <c r="Q39" i="1"/>
  <c r="Q38" i="1"/>
  <c r="Q37" i="1"/>
  <c r="Q34" i="1"/>
  <c r="Q33" i="1"/>
  <c r="Q32" i="1"/>
  <c r="Q31" i="1"/>
  <c r="Q30" i="1"/>
  <c r="Q29" i="1"/>
  <c r="Q25" i="1"/>
  <c r="Q24" i="1"/>
  <c r="Q20" i="1"/>
  <c r="Q19" i="1"/>
  <c r="Q18" i="1"/>
  <c r="Q17" i="1"/>
  <c r="Q10" i="1"/>
  <c r="Q11" i="1"/>
  <c r="Q12" i="1"/>
  <c r="Q13" i="1"/>
  <c r="Q9" i="1"/>
  <c r="O153" i="1"/>
  <c r="O147" i="1"/>
  <c r="O144" i="1"/>
  <c r="O143" i="1"/>
  <c r="O140" i="1"/>
  <c r="O139" i="1"/>
  <c r="O138" i="1"/>
  <c r="O137" i="1"/>
  <c r="O136" i="1"/>
  <c r="O135" i="1"/>
  <c r="O133" i="1"/>
  <c r="O132" i="1"/>
  <c r="O131" i="1"/>
  <c r="O130" i="1"/>
  <c r="O129" i="1"/>
  <c r="O128" i="1"/>
  <c r="O126" i="1"/>
  <c r="O125" i="1"/>
  <c r="O124" i="1"/>
  <c r="O123" i="1"/>
  <c r="O122" i="1"/>
  <c r="O121" i="1"/>
  <c r="O113" i="1"/>
  <c r="O112" i="1"/>
  <c r="O111" i="1"/>
  <c r="O109" i="1"/>
  <c r="O95" i="1"/>
  <c r="O94" i="1"/>
  <c r="O93" i="1"/>
  <c r="O90" i="1"/>
  <c r="O89" i="1"/>
  <c r="O88" i="1"/>
  <c r="O87" i="1"/>
  <c r="O86" i="1"/>
  <c r="O85" i="1"/>
  <c r="O84" i="1"/>
  <c r="O82" i="1"/>
  <c r="O80" i="1"/>
  <c r="O79" i="1"/>
  <c r="O77" i="1"/>
  <c r="O76" i="1"/>
  <c r="O75" i="1"/>
  <c r="O71" i="1"/>
  <c r="O70" i="1"/>
  <c r="O69" i="1"/>
  <c r="O68" i="1"/>
  <c r="O67" i="1"/>
  <c r="O66" i="1"/>
  <c r="O65" i="1"/>
  <c r="O64" i="1"/>
  <c r="O63" i="1"/>
  <c r="O62" i="1"/>
  <c r="O61" i="1"/>
  <c r="O60" i="1"/>
  <c r="O59" i="1"/>
  <c r="O58" i="1"/>
  <c r="O57" i="1"/>
  <c r="O52" i="1"/>
  <c r="O53" i="1" s="1"/>
  <c r="O49" i="1"/>
  <c r="O48" i="1"/>
  <c r="O47" i="1"/>
  <c r="O46" i="1"/>
  <c r="O42" i="1"/>
  <c r="O41" i="1"/>
  <c r="O40" i="1"/>
  <c r="O39" i="1"/>
  <c r="O38" i="1"/>
  <c r="O37" i="1"/>
  <c r="O34" i="1"/>
  <c r="O33" i="1"/>
  <c r="O32" i="1"/>
  <c r="O31" i="1"/>
  <c r="O30" i="1"/>
  <c r="O29" i="1"/>
  <c r="O25" i="1"/>
  <c r="O24" i="1"/>
  <c r="O26" i="1" s="1"/>
  <c r="O20" i="1"/>
  <c r="O19" i="1"/>
  <c r="O18" i="1"/>
  <c r="O17" i="1"/>
  <c r="O10" i="1"/>
  <c r="O11" i="1"/>
  <c r="O12" i="1"/>
  <c r="O13" i="1"/>
  <c r="O9" i="1"/>
  <c r="R153" i="1"/>
  <c r="R147" i="1"/>
  <c r="V147" i="1" s="1"/>
  <c r="R144" i="1"/>
  <c r="R143" i="1"/>
  <c r="V143" i="1" s="1"/>
  <c r="Z143" i="1" s="1"/>
  <c r="AA143" i="1" s="1"/>
  <c r="R140" i="1"/>
  <c r="R139" i="1"/>
  <c r="R138" i="1"/>
  <c r="R137" i="1"/>
  <c r="V137" i="1" s="1"/>
  <c r="R136" i="1"/>
  <c r="R135" i="1"/>
  <c r="R133" i="1"/>
  <c r="V133" i="1" s="1"/>
  <c r="R132" i="1"/>
  <c r="R131" i="1"/>
  <c r="R130" i="1"/>
  <c r="R129" i="1"/>
  <c r="R128" i="1"/>
  <c r="R126" i="1"/>
  <c r="R125" i="1"/>
  <c r="V125" i="1" s="1"/>
  <c r="R124" i="1"/>
  <c r="R123" i="1"/>
  <c r="R122" i="1"/>
  <c r="R121" i="1"/>
  <c r="R113" i="1"/>
  <c r="V113" i="1" s="1"/>
  <c r="Z113" i="1" s="1"/>
  <c r="AA113" i="1" s="1"/>
  <c r="R112" i="1"/>
  <c r="R111" i="1"/>
  <c r="R109" i="1"/>
  <c r="R94" i="1"/>
  <c r="V94" i="1" s="1"/>
  <c r="R93" i="1"/>
  <c r="R90" i="1"/>
  <c r="R89" i="1"/>
  <c r="V89" i="1" s="1"/>
  <c r="Z89" i="1" s="1"/>
  <c r="AA89" i="1" s="1"/>
  <c r="R88" i="1"/>
  <c r="V88" i="1" s="1"/>
  <c r="R87" i="1"/>
  <c r="V87" i="1" s="1"/>
  <c r="R86" i="1"/>
  <c r="R85" i="1"/>
  <c r="R84" i="1"/>
  <c r="R82" i="1"/>
  <c r="R81" i="1"/>
  <c r="R80" i="1"/>
  <c r="R79" i="1"/>
  <c r="R77" i="1"/>
  <c r="V77" i="1" s="1"/>
  <c r="R76" i="1"/>
  <c r="V76" i="1" s="1"/>
  <c r="R75" i="1"/>
  <c r="S71" i="1"/>
  <c r="R70" i="1"/>
  <c r="R69" i="1"/>
  <c r="R68" i="1"/>
  <c r="R67" i="1"/>
  <c r="R66" i="1"/>
  <c r="R65" i="1"/>
  <c r="R64" i="1"/>
  <c r="R63" i="1"/>
  <c r="R62" i="1"/>
  <c r="R61" i="1"/>
  <c r="R60" i="1"/>
  <c r="R59" i="1"/>
  <c r="R58" i="1"/>
  <c r="R57" i="1"/>
  <c r="R52" i="1"/>
  <c r="V52" i="1" s="1"/>
  <c r="Z52" i="1" s="1"/>
  <c r="R49" i="1"/>
  <c r="R48" i="1"/>
  <c r="R47" i="1"/>
  <c r="R46" i="1"/>
  <c r="R42" i="1"/>
  <c r="R41" i="1"/>
  <c r="R40" i="1"/>
  <c r="R39" i="1"/>
  <c r="R38" i="1"/>
  <c r="R37" i="1"/>
  <c r="V37" i="1" s="1"/>
  <c r="R34" i="1"/>
  <c r="R33" i="1"/>
  <c r="R32" i="1"/>
  <c r="R31" i="1"/>
  <c r="R30" i="1"/>
  <c r="R29" i="1"/>
  <c r="R25" i="1"/>
  <c r="R24" i="1"/>
  <c r="R20" i="1"/>
  <c r="R19" i="1"/>
  <c r="R18" i="1"/>
  <c r="R17" i="1"/>
  <c r="R10" i="1"/>
  <c r="R11" i="1"/>
  <c r="V11" i="1" s="1"/>
  <c r="R12" i="1"/>
  <c r="R13" i="1"/>
  <c r="R9" i="1"/>
  <c r="V9" i="1" s="1"/>
  <c r="R83" i="1" l="1"/>
  <c r="U83" i="1"/>
  <c r="W37" i="1"/>
  <c r="Z37" i="1"/>
  <c r="W76" i="1"/>
  <c r="Z76" i="1"/>
  <c r="AA76" i="1" s="1"/>
  <c r="AA52" i="1"/>
  <c r="Z53" i="1"/>
  <c r="W125" i="1"/>
  <c r="Z125" i="1"/>
  <c r="AA125" i="1" s="1"/>
  <c r="W77" i="1"/>
  <c r="Z77" i="1"/>
  <c r="AA77" i="1" s="1"/>
  <c r="W87" i="1"/>
  <c r="Z87" i="1"/>
  <c r="AA87" i="1" s="1"/>
  <c r="W137" i="1"/>
  <c r="Z137" i="1"/>
  <c r="AA137" i="1" s="1"/>
  <c r="Z9" i="1"/>
  <c r="W88" i="1"/>
  <c r="Z88" i="1"/>
  <c r="AA88" i="1" s="1"/>
  <c r="W133" i="1"/>
  <c r="Z133" i="1"/>
  <c r="AA133" i="1" s="1"/>
  <c r="W11" i="1"/>
  <c r="Z11" i="1"/>
  <c r="AA11" i="1" s="1"/>
  <c r="R78" i="1"/>
  <c r="Q110" i="1"/>
  <c r="Q117" i="1" s="1"/>
  <c r="Q78" i="1"/>
  <c r="U26" i="1"/>
  <c r="O120" i="1"/>
  <c r="Q83" i="1"/>
  <c r="U110" i="1"/>
  <c r="U117" i="1" s="1"/>
  <c r="U127" i="1"/>
  <c r="W105" i="1"/>
  <c r="O92" i="1"/>
  <c r="Q74" i="1"/>
  <c r="U78" i="1"/>
  <c r="R120" i="1"/>
  <c r="O74" i="1"/>
  <c r="U92" i="1"/>
  <c r="R74" i="1"/>
  <c r="O78" i="1"/>
  <c r="Q26" i="1"/>
  <c r="Q92" i="1"/>
  <c r="S11" i="1"/>
  <c r="O83" i="1"/>
  <c r="S133" i="1"/>
  <c r="Q127" i="1"/>
  <c r="AC106" i="1"/>
  <c r="AC105" i="1" s="1"/>
  <c r="S137" i="1"/>
  <c r="W101" i="1"/>
  <c r="U120" i="1"/>
  <c r="O134" i="1"/>
  <c r="R110" i="1"/>
  <c r="R117" i="1" s="1"/>
  <c r="S143" i="1"/>
  <c r="O110" i="1"/>
  <c r="O117" i="1" s="1"/>
  <c r="S37" i="1"/>
  <c r="S89" i="1"/>
  <c r="Q43" i="1"/>
  <c r="V93" i="1"/>
  <c r="V92" i="1" s="1"/>
  <c r="Z92" i="1" s="1"/>
  <c r="AA92" i="1" s="1"/>
  <c r="R92" i="1"/>
  <c r="Q134" i="1"/>
  <c r="O35" i="1"/>
  <c r="S88" i="1"/>
  <c r="O127" i="1"/>
  <c r="Q120" i="1"/>
  <c r="U74" i="1"/>
  <c r="S10" i="1"/>
  <c r="V10" i="1"/>
  <c r="Z10" i="1" s="1"/>
  <c r="AA10" i="1" s="1"/>
  <c r="V109" i="1"/>
  <c r="Z109" i="1" s="1"/>
  <c r="AA109" i="1" s="1"/>
  <c r="S109" i="1"/>
  <c r="S30" i="1"/>
  <c r="V30" i="1"/>
  <c r="Z30" i="1" s="1"/>
  <c r="AA30" i="1" s="1"/>
  <c r="S39" i="1"/>
  <c r="V39" i="1"/>
  <c r="Z39" i="1" s="1"/>
  <c r="AA39" i="1" s="1"/>
  <c r="S52" i="1"/>
  <c r="S53" i="1" s="1"/>
  <c r="R53" i="1"/>
  <c r="S64" i="1"/>
  <c r="V64" i="1"/>
  <c r="Z64" i="1" s="1"/>
  <c r="AA64" i="1" s="1"/>
  <c r="V84" i="1"/>
  <c r="S84" i="1"/>
  <c r="S140" i="1"/>
  <c r="V140" i="1"/>
  <c r="Z140" i="1" s="1"/>
  <c r="AA140" i="1" s="1"/>
  <c r="V85" i="1"/>
  <c r="Z85" i="1" s="1"/>
  <c r="AA85" i="1" s="1"/>
  <c r="S85" i="1"/>
  <c r="Q72" i="1"/>
  <c r="S135" i="1"/>
  <c r="V135" i="1"/>
  <c r="Z135" i="1" s="1"/>
  <c r="AA135" i="1" s="1"/>
  <c r="V17" i="1"/>
  <c r="Z17" i="1" s="1"/>
  <c r="S17" i="1"/>
  <c r="V121" i="1"/>
  <c r="Z121" i="1" s="1"/>
  <c r="AA121" i="1" s="1"/>
  <c r="S121" i="1"/>
  <c r="V129" i="1"/>
  <c r="Z129" i="1" s="1"/>
  <c r="AA129" i="1" s="1"/>
  <c r="S129" i="1"/>
  <c r="S25" i="1"/>
  <c r="V25" i="1"/>
  <c r="Z25" i="1" s="1"/>
  <c r="AA25" i="1" s="1"/>
  <c r="S48" i="1"/>
  <c r="V48" i="1"/>
  <c r="Z48" i="1" s="1"/>
  <c r="AA48" i="1" s="1"/>
  <c r="S62" i="1"/>
  <c r="V62" i="1"/>
  <c r="Z62" i="1" s="1"/>
  <c r="AA62" i="1" s="1"/>
  <c r="V70" i="1"/>
  <c r="Z70" i="1" s="1"/>
  <c r="AA70" i="1" s="1"/>
  <c r="S70" i="1"/>
  <c r="V80" i="1"/>
  <c r="Z80" i="1" s="1"/>
  <c r="AA80" i="1" s="1"/>
  <c r="S80" i="1"/>
  <c r="S122" i="1"/>
  <c r="V122" i="1"/>
  <c r="Z122" i="1" s="1"/>
  <c r="AA122" i="1" s="1"/>
  <c r="S29" i="1"/>
  <c r="V29" i="1"/>
  <c r="Z29" i="1" s="1"/>
  <c r="S38" i="1"/>
  <c r="V38" i="1"/>
  <c r="Z38" i="1" s="1"/>
  <c r="AA38" i="1" s="1"/>
  <c r="S49" i="1"/>
  <c r="V49" i="1"/>
  <c r="S63" i="1"/>
  <c r="V63" i="1"/>
  <c r="Z63" i="1" s="1"/>
  <c r="AA63" i="1" s="1"/>
  <c r="S79" i="1"/>
  <c r="V79" i="1"/>
  <c r="Z79" i="1" s="1"/>
  <c r="AA79" i="1" s="1"/>
  <c r="S128" i="1"/>
  <c r="V128" i="1"/>
  <c r="Z128" i="1" s="1"/>
  <c r="AA128" i="1" s="1"/>
  <c r="U50" i="1"/>
  <c r="S31" i="1"/>
  <c r="V31" i="1"/>
  <c r="Z31" i="1" s="1"/>
  <c r="AA31" i="1" s="1"/>
  <c r="S40" i="1"/>
  <c r="V40" i="1"/>
  <c r="Z40" i="1" s="1"/>
  <c r="AA40" i="1" s="1"/>
  <c r="S57" i="1"/>
  <c r="V57" i="1"/>
  <c r="Z57" i="1" s="1"/>
  <c r="S65" i="1"/>
  <c r="V65" i="1"/>
  <c r="Z65" i="1" s="1"/>
  <c r="AA65" i="1" s="1"/>
  <c r="S90" i="1"/>
  <c r="V90" i="1"/>
  <c r="Z90" i="1" s="1"/>
  <c r="AA90" i="1" s="1"/>
  <c r="S111" i="1"/>
  <c r="V111" i="1"/>
  <c r="Z111" i="1" s="1"/>
  <c r="AA111" i="1" s="1"/>
  <c r="S123" i="1"/>
  <c r="V123" i="1"/>
  <c r="Z123" i="1" s="1"/>
  <c r="AA123" i="1" s="1"/>
  <c r="S136" i="1"/>
  <c r="V136" i="1"/>
  <c r="Z136" i="1" s="1"/>
  <c r="AA136" i="1" s="1"/>
  <c r="S144" i="1"/>
  <c r="V144" i="1"/>
  <c r="AA144" i="1" s="1"/>
  <c r="Q35" i="1"/>
  <c r="Q44" i="1" s="1"/>
  <c r="W113" i="1"/>
  <c r="P151" i="1"/>
  <c r="S9" i="1"/>
  <c r="S18" i="1"/>
  <c r="V18" i="1"/>
  <c r="Z18" i="1" s="1"/>
  <c r="AA18" i="1" s="1"/>
  <c r="S32" i="1"/>
  <c r="V32" i="1"/>
  <c r="Z32" i="1" s="1"/>
  <c r="AA32" i="1" s="1"/>
  <c r="S41" i="1"/>
  <c r="V41" i="1"/>
  <c r="Z41" i="1" s="1"/>
  <c r="AA41" i="1" s="1"/>
  <c r="S58" i="1"/>
  <c r="V58" i="1"/>
  <c r="Z58" i="1" s="1"/>
  <c r="AA58" i="1" s="1"/>
  <c r="S66" i="1"/>
  <c r="V66" i="1"/>
  <c r="Z66" i="1" s="1"/>
  <c r="AA66" i="1" s="1"/>
  <c r="S75" i="1"/>
  <c r="V75" i="1"/>
  <c r="Z75" i="1" s="1"/>
  <c r="AA75" i="1" s="1"/>
  <c r="S81" i="1"/>
  <c r="V81" i="1"/>
  <c r="Z81" i="1" s="1"/>
  <c r="AA81" i="1" s="1"/>
  <c r="S86" i="1"/>
  <c r="V86" i="1"/>
  <c r="Z86" i="1" s="1"/>
  <c r="AA86" i="1" s="1"/>
  <c r="S112" i="1"/>
  <c r="V112" i="1"/>
  <c r="Z112" i="1" s="1"/>
  <c r="AA112" i="1" s="1"/>
  <c r="S124" i="1"/>
  <c r="V124" i="1"/>
  <c r="Z124" i="1" s="1"/>
  <c r="AA124" i="1" s="1"/>
  <c r="S130" i="1"/>
  <c r="V130" i="1"/>
  <c r="Z130" i="1" s="1"/>
  <c r="AA130" i="1" s="1"/>
  <c r="S147" i="1"/>
  <c r="O21" i="1"/>
  <c r="Q50" i="1"/>
  <c r="S33" i="1"/>
  <c r="V33" i="1"/>
  <c r="Z33" i="1" s="1"/>
  <c r="AA33" i="1" s="1"/>
  <c r="S67" i="1"/>
  <c r="V67" i="1"/>
  <c r="Z67" i="1" s="1"/>
  <c r="AA67" i="1" s="1"/>
  <c r="S131" i="1"/>
  <c r="V131" i="1"/>
  <c r="Z131" i="1" s="1"/>
  <c r="AA131" i="1" s="1"/>
  <c r="S153" i="1"/>
  <c r="V153" i="1"/>
  <c r="Z153" i="1" s="1"/>
  <c r="AA153" i="1" s="1"/>
  <c r="S13" i="1"/>
  <c r="V13" i="1"/>
  <c r="Z13" i="1" s="1"/>
  <c r="AA13" i="1" s="1"/>
  <c r="S34" i="1"/>
  <c r="V34" i="1"/>
  <c r="Z34" i="1" s="1"/>
  <c r="AA34" i="1" s="1"/>
  <c r="S68" i="1"/>
  <c r="V68" i="1"/>
  <c r="Z68" i="1" s="1"/>
  <c r="AA68" i="1" s="1"/>
  <c r="S125" i="1"/>
  <c r="S138" i="1"/>
  <c r="V138" i="1"/>
  <c r="Z138" i="1" s="1"/>
  <c r="AA138" i="1" s="1"/>
  <c r="U72" i="1"/>
  <c r="W89" i="1"/>
  <c r="S19" i="1"/>
  <c r="V19" i="1"/>
  <c r="Z19" i="1" s="1"/>
  <c r="AA19" i="1" s="1"/>
  <c r="S42" i="1"/>
  <c r="V42" i="1"/>
  <c r="Z42" i="1" s="1"/>
  <c r="AA42" i="1" s="1"/>
  <c r="S59" i="1"/>
  <c r="V59" i="1"/>
  <c r="Z59" i="1" s="1"/>
  <c r="AA59" i="1" s="1"/>
  <c r="S82" i="1"/>
  <c r="V82" i="1"/>
  <c r="S12" i="1"/>
  <c r="V12" i="1"/>
  <c r="Z12" i="1" s="1"/>
  <c r="AA12" i="1" s="1"/>
  <c r="S20" i="1"/>
  <c r="V20" i="1"/>
  <c r="S46" i="1"/>
  <c r="V46" i="1"/>
  <c r="Z46" i="1" s="1"/>
  <c r="S60" i="1"/>
  <c r="V60" i="1"/>
  <c r="Z60" i="1" s="1"/>
  <c r="AA60" i="1" s="1"/>
  <c r="S87" i="1"/>
  <c r="S113" i="1"/>
  <c r="S132" i="1"/>
  <c r="V132" i="1"/>
  <c r="Z132" i="1" s="1"/>
  <c r="AA132" i="1" s="1"/>
  <c r="S24" i="1"/>
  <c r="V24" i="1"/>
  <c r="Z24" i="1" s="1"/>
  <c r="S47" i="1"/>
  <c r="V47" i="1"/>
  <c r="Z47" i="1" s="1"/>
  <c r="AA47" i="1" s="1"/>
  <c r="S61" i="1"/>
  <c r="V61" i="1"/>
  <c r="Z61" i="1" s="1"/>
  <c r="AA61" i="1" s="1"/>
  <c r="S69" i="1"/>
  <c r="V69" i="1"/>
  <c r="Z69" i="1" s="1"/>
  <c r="AA69" i="1" s="1"/>
  <c r="S77" i="1"/>
  <c r="S126" i="1"/>
  <c r="V126" i="1"/>
  <c r="Z126" i="1" s="1"/>
  <c r="AA126" i="1" s="1"/>
  <c r="S139" i="1"/>
  <c r="V139" i="1"/>
  <c r="Z139" i="1" s="1"/>
  <c r="AA139" i="1" s="1"/>
  <c r="U43" i="1"/>
  <c r="U21" i="1"/>
  <c r="S95" i="1"/>
  <c r="S93" i="1"/>
  <c r="S94" i="1"/>
  <c r="U35" i="1"/>
  <c r="U14" i="1"/>
  <c r="T54" i="1"/>
  <c r="O72" i="1"/>
  <c r="O50" i="1"/>
  <c r="O43" i="1"/>
  <c r="O14" i="1"/>
  <c r="N151" i="1"/>
  <c r="S76" i="1"/>
  <c r="R72" i="1"/>
  <c r="R50" i="1"/>
  <c r="P44" i="1"/>
  <c r="R43" i="1"/>
  <c r="R35" i="1"/>
  <c r="R26" i="1"/>
  <c r="Q21" i="1"/>
  <c r="R21" i="1"/>
  <c r="Q14" i="1"/>
  <c r="R14" i="1"/>
  <c r="P22" i="1"/>
  <c r="K75" i="1"/>
  <c r="L75" i="1"/>
  <c r="K79" i="1"/>
  <c r="L79" i="1" s="1"/>
  <c r="E9" i="1"/>
  <c r="F9" i="1" s="1"/>
  <c r="E10" i="1"/>
  <c r="F10" i="1" s="1"/>
  <c r="E11" i="1"/>
  <c r="F11" i="1" s="1"/>
  <c r="E13" i="1"/>
  <c r="F13" i="1" s="1"/>
  <c r="F15" i="1"/>
  <c r="F16" i="1"/>
  <c r="C17" i="1"/>
  <c r="E17" i="1" s="1"/>
  <c r="F17" i="1" s="1"/>
  <c r="E18" i="1"/>
  <c r="F18" i="1" s="1"/>
  <c r="E19" i="1"/>
  <c r="F19" i="1" s="1"/>
  <c r="C20" i="1"/>
  <c r="E20" i="1" s="1"/>
  <c r="F20" i="1" s="1"/>
  <c r="F23" i="1"/>
  <c r="E24" i="1"/>
  <c r="E25" i="1"/>
  <c r="F25" i="1" s="1"/>
  <c r="F27" i="1"/>
  <c r="E29" i="1"/>
  <c r="E30" i="1"/>
  <c r="F30" i="1" s="1"/>
  <c r="E31" i="1"/>
  <c r="F31" i="1" s="1"/>
  <c r="E32" i="1"/>
  <c r="F32" i="1" s="1"/>
  <c r="E33" i="1"/>
  <c r="F33" i="1" s="1"/>
  <c r="E37" i="1"/>
  <c r="F37" i="1" s="1"/>
  <c r="E38" i="1"/>
  <c r="F38" i="1" s="1"/>
  <c r="E39" i="1"/>
  <c r="F39" i="1" s="1"/>
  <c r="E40" i="1"/>
  <c r="F40" i="1" s="1"/>
  <c r="E41" i="1"/>
  <c r="F41" i="1" s="1"/>
  <c r="F45" i="1"/>
  <c r="E46" i="1"/>
  <c r="F46" i="1" s="1"/>
  <c r="E47" i="1"/>
  <c r="E48" i="1"/>
  <c r="F48" i="1" s="1"/>
  <c r="E49" i="1"/>
  <c r="F49" i="1" s="1"/>
  <c r="F51" i="1"/>
  <c r="F56" i="1"/>
  <c r="E57" i="1"/>
  <c r="F57" i="1" s="1"/>
  <c r="E58" i="1"/>
  <c r="E60" i="1"/>
  <c r="F60" i="1" s="1"/>
  <c r="E62" i="1"/>
  <c r="F62" i="1" s="1"/>
  <c r="E66" i="1"/>
  <c r="F66" i="1" s="1"/>
  <c r="E67" i="1"/>
  <c r="F67" i="1" s="1"/>
  <c r="E70" i="1"/>
  <c r="F70" i="1" s="1"/>
  <c r="E71" i="1"/>
  <c r="F71" i="1" s="1"/>
  <c r="F73" i="1"/>
  <c r="E74" i="1"/>
  <c r="F74" i="1" s="1"/>
  <c r="E78" i="1"/>
  <c r="F78" i="1" s="1"/>
  <c r="E81" i="1"/>
  <c r="F81" i="1" s="1"/>
  <c r="E82" i="1"/>
  <c r="F82" i="1" s="1"/>
  <c r="E96" i="1"/>
  <c r="F96" i="1" s="1"/>
  <c r="E99" i="1"/>
  <c r="F99" i="1" s="1"/>
  <c r="E100" i="1"/>
  <c r="F100" i="1" s="1"/>
  <c r="E101" i="1"/>
  <c r="F101" i="1" s="1"/>
  <c r="E119" i="1"/>
  <c r="E126" i="1"/>
  <c r="F126" i="1" s="1"/>
  <c r="E127" i="1"/>
  <c r="F127" i="1" s="1"/>
  <c r="F157" i="1"/>
  <c r="F158" i="1"/>
  <c r="S83" i="1" l="1"/>
  <c r="Z84" i="1"/>
  <c r="AA84" i="1" s="1"/>
  <c r="V83" i="1"/>
  <c r="Z83" i="1" s="1"/>
  <c r="AA83" i="1" s="1"/>
  <c r="AA17" i="1"/>
  <c r="W20" i="1"/>
  <c r="Z20" i="1"/>
  <c r="AA20" i="1" s="1"/>
  <c r="AA57" i="1"/>
  <c r="AA72" i="1" s="1"/>
  <c r="Z72" i="1"/>
  <c r="AA46" i="1"/>
  <c r="AA29" i="1"/>
  <c r="AA35" i="1" s="1"/>
  <c r="Z35" i="1"/>
  <c r="V14" i="1"/>
  <c r="AA37" i="1"/>
  <c r="AA43" i="1" s="1"/>
  <c r="Z43" i="1"/>
  <c r="W82" i="1"/>
  <c r="Z82" i="1"/>
  <c r="AA82" i="1" s="1"/>
  <c r="AA53" i="1"/>
  <c r="W49" i="1"/>
  <c r="Z49" i="1"/>
  <c r="AA49" i="1" s="1"/>
  <c r="Z26" i="1"/>
  <c r="AA24" i="1"/>
  <c r="AA26" i="1" s="1"/>
  <c r="AA9" i="1"/>
  <c r="AA14" i="1" s="1"/>
  <c r="Z14" i="1"/>
  <c r="S26" i="1"/>
  <c r="Q97" i="1"/>
  <c r="S92" i="1"/>
  <c r="O150" i="1"/>
  <c r="S78" i="1"/>
  <c r="R150" i="1"/>
  <c r="O97" i="1"/>
  <c r="V43" i="1"/>
  <c r="R97" i="1"/>
  <c r="O44" i="1"/>
  <c r="AC79" i="1"/>
  <c r="S110" i="1"/>
  <c r="S117" i="1" s="1"/>
  <c r="S21" i="1"/>
  <c r="V120" i="1"/>
  <c r="Z120" i="1" s="1"/>
  <c r="AC75" i="1"/>
  <c r="U97" i="1"/>
  <c r="Q150" i="1"/>
  <c r="S72" i="1"/>
  <c r="S14" i="1"/>
  <c r="V127" i="1"/>
  <c r="Z127" i="1" s="1"/>
  <c r="AA127" i="1" s="1"/>
  <c r="S35" i="1"/>
  <c r="S127" i="1"/>
  <c r="S43" i="1"/>
  <c r="W75" i="1"/>
  <c r="W74" i="1" s="1"/>
  <c r="V74" i="1"/>
  <c r="Z74" i="1" s="1"/>
  <c r="S74" i="1"/>
  <c r="O22" i="1"/>
  <c r="S50" i="1"/>
  <c r="V110" i="1"/>
  <c r="W79" i="1"/>
  <c r="V78" i="1"/>
  <c r="Z78" i="1" s="1"/>
  <c r="AA78" i="1" s="1"/>
  <c r="S120" i="1"/>
  <c r="U150" i="1"/>
  <c r="W12" i="1"/>
  <c r="W19" i="1"/>
  <c r="AC67" i="1"/>
  <c r="W67" i="1"/>
  <c r="W86" i="1"/>
  <c r="AC144" i="1"/>
  <c r="W144" i="1"/>
  <c r="W90" i="1"/>
  <c r="W31" i="1"/>
  <c r="W128" i="1"/>
  <c r="W80" i="1"/>
  <c r="W47" i="1"/>
  <c r="W68" i="1"/>
  <c r="W58" i="1"/>
  <c r="W9" i="1"/>
  <c r="W38" i="1"/>
  <c r="W30" i="1"/>
  <c r="W60" i="1"/>
  <c r="W33" i="1"/>
  <c r="W64" i="1"/>
  <c r="W34" i="1"/>
  <c r="W41" i="1"/>
  <c r="V35" i="1"/>
  <c r="W29" i="1"/>
  <c r="W62" i="1"/>
  <c r="V21" i="1"/>
  <c r="W17" i="1"/>
  <c r="W140" i="1"/>
  <c r="W130" i="1"/>
  <c r="W65" i="1"/>
  <c r="W70" i="1"/>
  <c r="W129" i="1"/>
  <c r="W139" i="1"/>
  <c r="W24" i="1"/>
  <c r="V50" i="1"/>
  <c r="W46" i="1"/>
  <c r="W59" i="1"/>
  <c r="W131" i="1"/>
  <c r="W124" i="1"/>
  <c r="W123" i="1"/>
  <c r="V72" i="1"/>
  <c r="W57" i="1"/>
  <c r="W121" i="1"/>
  <c r="W135" i="1"/>
  <c r="W81" i="1"/>
  <c r="W85" i="1"/>
  <c r="W69" i="1"/>
  <c r="W32" i="1"/>
  <c r="W63" i="1"/>
  <c r="W122" i="1"/>
  <c r="W48" i="1"/>
  <c r="V53" i="1"/>
  <c r="W52" i="1"/>
  <c r="W109" i="1"/>
  <c r="W136" i="1"/>
  <c r="W132" i="1"/>
  <c r="W42" i="1"/>
  <c r="W138" i="1"/>
  <c r="W13" i="1"/>
  <c r="W112" i="1"/>
  <c r="W111" i="1"/>
  <c r="W40" i="1"/>
  <c r="W84" i="1"/>
  <c r="W10" i="1"/>
  <c r="W61" i="1"/>
  <c r="W147" i="1"/>
  <c r="W66" i="1"/>
  <c r="W18" i="1"/>
  <c r="V26" i="1"/>
  <c r="W25" i="1"/>
  <c r="W39" i="1"/>
  <c r="U44" i="1"/>
  <c r="U22" i="1"/>
  <c r="W143" i="1"/>
  <c r="W95" i="1"/>
  <c r="W93" i="1"/>
  <c r="W94" i="1"/>
  <c r="T152" i="1"/>
  <c r="T154" i="1" s="1"/>
  <c r="T155" i="1" s="1"/>
  <c r="N152" i="1"/>
  <c r="R22" i="1"/>
  <c r="M79" i="1"/>
  <c r="M75" i="1"/>
  <c r="R44" i="1"/>
  <c r="Q22" i="1"/>
  <c r="E26" i="1"/>
  <c r="F26" i="1" s="1"/>
  <c r="E43" i="1"/>
  <c r="F43" i="1" s="1"/>
  <c r="E97" i="1"/>
  <c r="E14" i="1"/>
  <c r="E117" i="1"/>
  <c r="F117" i="1" s="1"/>
  <c r="E72" i="1"/>
  <c r="E150" i="1"/>
  <c r="F150" i="1" s="1"/>
  <c r="E50" i="1"/>
  <c r="F50" i="1" s="1"/>
  <c r="E35" i="1"/>
  <c r="F35" i="1" s="1"/>
  <c r="F14" i="1"/>
  <c r="F97" i="1"/>
  <c r="F119" i="1"/>
  <c r="F58" i="1"/>
  <c r="F72" i="1" s="1"/>
  <c r="F47" i="1"/>
  <c r="F29" i="1"/>
  <c r="F24" i="1"/>
  <c r="E21" i="1"/>
  <c r="F21" i="1" s="1"/>
  <c r="W83" i="1" l="1"/>
  <c r="U151" i="1"/>
  <c r="AA50" i="1"/>
  <c r="Z50" i="1"/>
  <c r="O151" i="1"/>
  <c r="AA44" i="1"/>
  <c r="V117" i="1"/>
  <c r="Z110" i="1"/>
  <c r="Z97" i="1"/>
  <c r="AA74" i="1"/>
  <c r="AA97" i="1" s="1"/>
  <c r="Z44" i="1"/>
  <c r="Z21" i="1"/>
  <c r="Z22" i="1" s="1"/>
  <c r="AA120" i="1"/>
  <c r="AA150" i="1" s="1"/>
  <c r="Z150" i="1"/>
  <c r="AA21" i="1"/>
  <c r="AA22" i="1" s="1"/>
  <c r="R151" i="1"/>
  <c r="O54" i="1"/>
  <c r="V44" i="1"/>
  <c r="S22" i="1"/>
  <c r="Q151" i="1"/>
  <c r="S97" i="1"/>
  <c r="W35" i="1"/>
  <c r="W110" i="1"/>
  <c r="W117" i="1" s="1"/>
  <c r="W120" i="1"/>
  <c r="W26" i="1"/>
  <c r="V97" i="1"/>
  <c r="S44" i="1"/>
  <c r="W127" i="1"/>
  <c r="W78" i="1"/>
  <c r="V150" i="1"/>
  <c r="W92" i="1"/>
  <c r="S150" i="1"/>
  <c r="W50" i="1"/>
  <c r="AC81" i="1"/>
  <c r="W72" i="1"/>
  <c r="W21" i="1"/>
  <c r="W43" i="1"/>
  <c r="W14" i="1"/>
  <c r="V22" i="1"/>
  <c r="N154" i="1"/>
  <c r="N155" i="1" s="1"/>
  <c r="O152" i="1"/>
  <c r="O154" i="1" s="1"/>
  <c r="P54" i="1"/>
  <c r="P152" i="1" s="1"/>
  <c r="P154" i="1" s="1"/>
  <c r="P155" i="1" s="1"/>
  <c r="E44" i="1"/>
  <c r="F44" i="1" s="1"/>
  <c r="E22" i="1"/>
  <c r="F22" i="1" s="1"/>
  <c r="E151" i="1"/>
  <c r="F151" i="1" s="1"/>
  <c r="AA54" i="1" l="1"/>
  <c r="Z54" i="1"/>
  <c r="AA110" i="1"/>
  <c r="AA117" i="1" s="1"/>
  <c r="AA151" i="1" s="1"/>
  <c r="Z117" i="1"/>
  <c r="Z151" i="1" s="1"/>
  <c r="S151" i="1"/>
  <c r="V151" i="1"/>
  <c r="V54" i="1"/>
  <c r="W44" i="1"/>
  <c r="W97" i="1"/>
  <c r="W150" i="1"/>
  <c r="W22" i="1"/>
  <c r="P156" i="1"/>
  <c r="P159" i="1" s="1"/>
  <c r="Q155" i="1"/>
  <c r="O155" i="1"/>
  <c r="O156" i="1" s="1"/>
  <c r="O159" i="1" s="1"/>
  <c r="R155" i="1"/>
  <c r="S155" i="1" s="1"/>
  <c r="N156" i="1"/>
  <c r="Q54" i="1"/>
  <c r="Q152" i="1" s="1"/>
  <c r="Q154" i="1" s="1"/>
  <c r="E54" i="1"/>
  <c r="E152" i="1" s="1"/>
  <c r="F54" i="1"/>
  <c r="W151" i="1" l="1"/>
  <c r="T156" i="1"/>
  <c r="T159" i="1" s="1"/>
  <c r="Q156" i="1"/>
  <c r="Q159" i="1" s="1"/>
  <c r="U155" i="1"/>
  <c r="N159" i="1"/>
  <c r="R159" i="1" s="1"/>
  <c r="R54" i="1"/>
  <c r="R152" i="1" s="1"/>
  <c r="V152" i="1" s="1"/>
  <c r="E153" i="1"/>
  <c r="F153" i="1" s="1"/>
  <c r="F152" i="1"/>
  <c r="V154" i="1" l="1"/>
  <c r="Z152" i="1"/>
  <c r="R154" i="1"/>
  <c r="R156" i="1" s="1"/>
  <c r="S159" i="1"/>
  <c r="S54" i="1"/>
  <c r="S152" i="1" s="1"/>
  <c r="S154" i="1" s="1"/>
  <c r="S156" i="1" s="1"/>
  <c r="E154" i="1"/>
  <c r="AA152" i="1" l="1"/>
  <c r="AA154" i="1" s="1"/>
  <c r="V155" i="1"/>
  <c r="W152" i="1"/>
  <c r="W154" i="1" s="1"/>
  <c r="F154" i="1"/>
  <c r="E155" i="1"/>
  <c r="F155" i="1" s="1"/>
  <c r="V156" i="1" l="1"/>
  <c r="V159" i="1" s="1"/>
  <c r="Z155" i="1"/>
  <c r="AA155" i="1" s="1"/>
  <c r="AA159" i="1" s="1"/>
  <c r="E156" i="1"/>
  <c r="Z159" i="1" l="1"/>
  <c r="W155" i="1"/>
  <c r="W156" i="1" s="1"/>
  <c r="W159" i="1" s="1"/>
  <c r="E159" i="1"/>
  <c r="F159" i="1" s="1"/>
  <c r="F156" i="1"/>
  <c r="J11" i="1"/>
  <c r="G156" i="1" l="1"/>
  <c r="G155" i="1"/>
  <c r="G151" i="1"/>
  <c r="G44" i="1"/>
  <c r="G117" i="1"/>
  <c r="G26" i="1"/>
  <c r="G22" i="1"/>
  <c r="G43" i="1"/>
  <c r="G97" i="1"/>
  <c r="G35" i="1"/>
  <c r="G50" i="1"/>
  <c r="G152" i="1"/>
  <c r="G154" i="1"/>
  <c r="G72" i="1"/>
  <c r="G54" i="1"/>
  <c r="G14" i="1"/>
  <c r="G21" i="1"/>
  <c r="G150" i="1"/>
  <c r="K147" i="1"/>
  <c r="J25" i="1"/>
  <c r="J24" i="1"/>
  <c r="K24" i="1" s="1"/>
  <c r="AC147" i="1" l="1"/>
  <c r="K121" i="1"/>
  <c r="K119" i="1"/>
  <c r="J17" i="1"/>
  <c r="L140" i="1" l="1"/>
  <c r="L143" i="1"/>
  <c r="L119" i="1"/>
  <c r="L109" i="1"/>
  <c r="L100" i="1"/>
  <c r="L99" i="1"/>
  <c r="K144" i="1"/>
  <c r="K140" i="1"/>
  <c r="L130" i="1"/>
  <c r="AC119" i="1" l="1"/>
  <c r="AC130" i="1"/>
  <c r="AC140" i="1"/>
  <c r="AC100" i="1"/>
  <c r="AC109" i="1"/>
  <c r="M119" i="1"/>
  <c r="M140" i="1"/>
  <c r="AC99" i="1" l="1"/>
  <c r="AC143" i="1"/>
  <c r="K143" i="1"/>
  <c r="M143" i="1"/>
  <c r="M67" i="1"/>
  <c r="K107" i="1"/>
  <c r="M107" i="1"/>
  <c r="U53" i="1" l="1"/>
  <c r="U54" i="1" s="1"/>
  <c r="K130" i="1"/>
  <c r="M130" i="1"/>
  <c r="K86" i="1"/>
  <c r="L86" i="1"/>
  <c r="J85" i="1"/>
  <c r="M86" i="1" l="1"/>
  <c r="AC86" i="1"/>
  <c r="L88" i="1"/>
  <c r="M109" i="1"/>
  <c r="K105" i="1"/>
  <c r="K104" i="1"/>
  <c r="K103" i="1"/>
  <c r="K102" i="1"/>
  <c r="K101" i="1"/>
  <c r="K100" i="1"/>
  <c r="K99" i="1"/>
  <c r="K95" i="1"/>
  <c r="K94" i="1"/>
  <c r="K93" i="1"/>
  <c r="L93" i="1"/>
  <c r="U152" i="1" l="1"/>
  <c r="U154" i="1" s="1"/>
  <c r="U156" i="1" s="1"/>
  <c r="U159" i="1" s="1"/>
  <c r="AC88" i="1"/>
  <c r="W53" i="1"/>
  <c r="W54" i="1" s="1"/>
  <c r="M93" i="1"/>
  <c r="J33" i="1"/>
  <c r="J32" i="1"/>
  <c r="J31" i="1"/>
  <c r="J41" i="1"/>
  <c r="L41" i="1" s="1"/>
  <c r="J40" i="1"/>
  <c r="L40" i="1" s="1"/>
  <c r="J39" i="1"/>
  <c r="L39" i="1" s="1"/>
  <c r="K37" i="1"/>
  <c r="L38" i="1"/>
  <c r="L37" i="1"/>
  <c r="J9" i="1"/>
  <c r="L9" i="1" s="1"/>
  <c r="J19" i="1"/>
  <c r="L19" i="1" s="1"/>
  <c r="L17" i="1"/>
  <c r="L20" i="1"/>
  <c r="AC20" i="1" s="1"/>
  <c r="L18" i="1"/>
  <c r="AC93" i="1" l="1"/>
  <c r="M37" i="1"/>
  <c r="AC18" i="1"/>
  <c r="AC39" i="1"/>
  <c r="AC40" i="1"/>
  <c r="AC41" i="1"/>
  <c r="AC38" i="1"/>
  <c r="AC19" i="1"/>
  <c r="L21" i="1"/>
  <c r="K139" i="1"/>
  <c r="K138" i="1"/>
  <c r="K137" i="1"/>
  <c r="K136" i="1"/>
  <c r="K135" i="1"/>
  <c r="K133" i="1"/>
  <c r="K132" i="1"/>
  <c r="K131" i="1"/>
  <c r="K129" i="1"/>
  <c r="K128" i="1"/>
  <c r="K125" i="1"/>
  <c r="K124" i="1"/>
  <c r="K123" i="1"/>
  <c r="K122" i="1"/>
  <c r="K116" i="1"/>
  <c r="K115" i="1"/>
  <c r="AC9" i="1" l="1"/>
  <c r="AB21" i="1"/>
  <c r="AC17" i="1"/>
  <c r="AC21" i="1" s="1"/>
  <c r="AC37" i="1"/>
  <c r="K90" i="1"/>
  <c r="M90" i="1" l="1"/>
  <c r="AC90" i="1"/>
  <c r="L29" i="1"/>
  <c r="L13" i="1" l="1"/>
  <c r="L10" i="1"/>
  <c r="M20" i="1"/>
  <c r="L46" i="1"/>
  <c r="L47" i="1"/>
  <c r="L48" i="1"/>
  <c r="L52" i="1"/>
  <c r="L57" i="1"/>
  <c r="J58" i="1"/>
  <c r="L58" i="1" s="1"/>
  <c r="L59" i="1"/>
  <c r="L60" i="1"/>
  <c r="L61" i="1"/>
  <c r="L63" i="1"/>
  <c r="L64" i="1"/>
  <c r="L65" i="1"/>
  <c r="L66" i="1"/>
  <c r="L68" i="1"/>
  <c r="L69" i="1"/>
  <c r="L70" i="1"/>
  <c r="L71" i="1"/>
  <c r="K11" i="1"/>
  <c r="M17" i="1"/>
  <c r="M18" i="1"/>
  <c r="M19" i="1"/>
  <c r="L24" i="1"/>
  <c r="L25" i="1"/>
  <c r="L30" i="1"/>
  <c r="L31" i="1"/>
  <c r="L32" i="1"/>
  <c r="L33" i="1"/>
  <c r="L34" i="1"/>
  <c r="L42" i="1"/>
  <c r="M38" i="1"/>
  <c r="K39" i="1"/>
  <c r="K40" i="1"/>
  <c r="K41" i="1"/>
  <c r="J49" i="1"/>
  <c r="K49" i="1" s="1"/>
  <c r="M29" i="1"/>
  <c r="K89" i="1"/>
  <c r="K88" i="1"/>
  <c r="K87" i="1"/>
  <c r="K85" i="1"/>
  <c r="K84" i="1"/>
  <c r="L128" i="1"/>
  <c r="L129" i="1"/>
  <c r="L131" i="1"/>
  <c r="L132" i="1"/>
  <c r="L133" i="1"/>
  <c r="L135" i="1"/>
  <c r="L136" i="1"/>
  <c r="L137" i="1"/>
  <c r="L138" i="1"/>
  <c r="L139" i="1"/>
  <c r="L121" i="1"/>
  <c r="L122" i="1"/>
  <c r="L123" i="1"/>
  <c r="L124" i="1"/>
  <c r="L125" i="1"/>
  <c r="L111" i="1"/>
  <c r="L112" i="1"/>
  <c r="L113" i="1"/>
  <c r="M100" i="1"/>
  <c r="L102" i="1"/>
  <c r="L103" i="1"/>
  <c r="M104" i="1"/>
  <c r="L115" i="1"/>
  <c r="L116" i="1"/>
  <c r="L80" i="1"/>
  <c r="L84" i="1"/>
  <c r="L85" i="1"/>
  <c r="L87" i="1"/>
  <c r="L89" i="1"/>
  <c r="L94" i="1"/>
  <c r="L95" i="1"/>
  <c r="L76" i="1"/>
  <c r="L77" i="1"/>
  <c r="L82" i="1"/>
  <c r="AC82" i="1" s="1"/>
  <c r="L96" i="1"/>
  <c r="M96" i="1" s="1"/>
  <c r="M108" i="1"/>
  <c r="M153" i="1"/>
  <c r="K113" i="1"/>
  <c r="K112" i="1"/>
  <c r="K111" i="1"/>
  <c r="K109" i="1"/>
  <c r="K106" i="1"/>
  <c r="K81" i="1"/>
  <c r="K82" i="1"/>
  <c r="K80" i="1"/>
  <c r="K77" i="1"/>
  <c r="K76" i="1"/>
  <c r="K13" i="1"/>
  <c r="K71" i="1"/>
  <c r="K70" i="1"/>
  <c r="K69" i="1"/>
  <c r="K68" i="1"/>
  <c r="K67" i="1"/>
  <c r="K66" i="1"/>
  <c r="K65" i="1"/>
  <c r="K64" i="1"/>
  <c r="K63" i="1"/>
  <c r="K61" i="1"/>
  <c r="K60" i="1"/>
  <c r="K59" i="1"/>
  <c r="K57" i="1"/>
  <c r="K48" i="1"/>
  <c r="K47" i="1"/>
  <c r="K46" i="1"/>
  <c r="K52" i="1"/>
  <c r="K42" i="1"/>
  <c r="K34" i="1"/>
  <c r="K33" i="1"/>
  <c r="K32" i="1"/>
  <c r="K31" i="1"/>
  <c r="K30" i="1"/>
  <c r="K29" i="1"/>
  <c r="K25" i="1"/>
  <c r="K19" i="1"/>
  <c r="K18" i="1"/>
  <c r="K12" i="1"/>
  <c r="K10" i="1"/>
  <c r="L126" i="1"/>
  <c r="L98" i="1"/>
  <c r="K17" i="1"/>
  <c r="M63" i="1" l="1"/>
  <c r="AC63" i="1"/>
  <c r="M77" i="1"/>
  <c r="AC77" i="1"/>
  <c r="AC112" i="1"/>
  <c r="L110" i="1"/>
  <c r="M70" i="1"/>
  <c r="AC70" i="1"/>
  <c r="AC136" i="1"/>
  <c r="M25" i="1"/>
  <c r="AC25" i="1"/>
  <c r="AC124" i="1"/>
  <c r="AC68" i="1"/>
  <c r="AC58" i="1"/>
  <c r="M13" i="1"/>
  <c r="AC13" i="1"/>
  <c r="M113" i="1"/>
  <c r="AC113" i="1"/>
  <c r="M47" i="1"/>
  <c r="AC47" i="1"/>
  <c r="AC137" i="1"/>
  <c r="AC30" i="1"/>
  <c r="AC95" i="1"/>
  <c r="M69" i="1"/>
  <c r="AC69" i="1"/>
  <c r="M89" i="1"/>
  <c r="AC89" i="1"/>
  <c r="AC133" i="1"/>
  <c r="M42" i="1"/>
  <c r="M66" i="1"/>
  <c r="AC66" i="1"/>
  <c r="AC129" i="1"/>
  <c r="AC138" i="1"/>
  <c r="M61" i="1"/>
  <c r="AC61" i="1"/>
  <c r="M60" i="1"/>
  <c r="AC60" i="1"/>
  <c r="M59" i="1"/>
  <c r="AC59" i="1"/>
  <c r="AC123" i="1"/>
  <c r="M87" i="1"/>
  <c r="AC87" i="1"/>
  <c r="L101" i="1"/>
  <c r="AC122" i="1"/>
  <c r="AC132" i="1"/>
  <c r="M34" i="1"/>
  <c r="AC34" i="1"/>
  <c r="M65" i="1"/>
  <c r="AC65" i="1"/>
  <c r="AC139" i="1"/>
  <c r="M32" i="1"/>
  <c r="AC32" i="1"/>
  <c r="L78" i="1"/>
  <c r="M31" i="1"/>
  <c r="AC31" i="1"/>
  <c r="M71" i="1"/>
  <c r="AC71" i="1"/>
  <c r="M116" i="1"/>
  <c r="AC116" i="1"/>
  <c r="AC125" i="1"/>
  <c r="AC103" i="1"/>
  <c r="M85" i="1"/>
  <c r="AC85" i="1"/>
  <c r="L120" i="1"/>
  <c r="AC131" i="1"/>
  <c r="M33" i="1"/>
  <c r="AC33" i="1"/>
  <c r="M21" i="1"/>
  <c r="M64" i="1"/>
  <c r="AC64" i="1"/>
  <c r="M48" i="1"/>
  <c r="AC48" i="1"/>
  <c r="AC29" i="1"/>
  <c r="M81" i="1"/>
  <c r="M82" i="1"/>
  <c r="M52" i="1"/>
  <c r="L53" i="1"/>
  <c r="M53" i="1" s="1"/>
  <c r="L72" i="1"/>
  <c r="M24" i="1"/>
  <c r="M10" i="1"/>
  <c r="M122" i="1"/>
  <c r="M132" i="1"/>
  <c r="M124" i="1"/>
  <c r="M139" i="1"/>
  <c r="M129" i="1"/>
  <c r="M123" i="1"/>
  <c r="M137" i="1"/>
  <c r="M126" i="1"/>
  <c r="M125" i="1"/>
  <c r="M136" i="1"/>
  <c r="L92" i="1"/>
  <c r="L114" i="1"/>
  <c r="M103" i="1"/>
  <c r="L127" i="1"/>
  <c r="L74" i="1"/>
  <c r="M57" i="1"/>
  <c r="M68" i="1"/>
  <c r="M112" i="1"/>
  <c r="M135" i="1"/>
  <c r="M133" i="1"/>
  <c r="K58" i="1"/>
  <c r="M95" i="1"/>
  <c r="M94" i="1"/>
  <c r="K9" i="1"/>
  <c r="M128" i="1"/>
  <c r="M121" i="1"/>
  <c r="M99" i="1"/>
  <c r="M102" i="1"/>
  <c r="M84" i="1"/>
  <c r="M80" i="1"/>
  <c r="M78" i="1" s="1"/>
  <c r="M40" i="1"/>
  <c r="M76" i="1"/>
  <c r="M88" i="1"/>
  <c r="L12" i="1"/>
  <c r="L26" i="1"/>
  <c r="L49" i="1"/>
  <c r="L11" i="1"/>
  <c r="M111" i="1"/>
  <c r="M131" i="1"/>
  <c r="M58" i="1"/>
  <c r="M138" i="1"/>
  <c r="M46" i="1"/>
  <c r="L35" i="1"/>
  <c r="M41" i="1"/>
  <c r="L43" i="1"/>
  <c r="K38" i="1"/>
  <c r="M39" i="1"/>
  <c r="M115" i="1"/>
  <c r="M106" i="1"/>
  <c r="M105" i="1" s="1"/>
  <c r="M30" i="1"/>
  <c r="M83" i="1" l="1"/>
  <c r="XES132" i="1"/>
  <c r="AC102" i="1"/>
  <c r="AC101" i="1" s="1"/>
  <c r="L97" i="1"/>
  <c r="AC135" i="1"/>
  <c r="AC134" i="1" s="1"/>
  <c r="AC80" i="1"/>
  <c r="AC78" i="1" s="1"/>
  <c r="AC115" i="1"/>
  <c r="AC114" i="1" s="1"/>
  <c r="AC35" i="1"/>
  <c r="AC111" i="1"/>
  <c r="AC110" i="1" s="1"/>
  <c r="XES133" i="1"/>
  <c r="AB35" i="1"/>
  <c r="AC94" i="1"/>
  <c r="AC92" i="1" s="1"/>
  <c r="AC128" i="1"/>
  <c r="AC127" i="1" s="1"/>
  <c r="M43" i="1"/>
  <c r="M35" i="1"/>
  <c r="AC84" i="1"/>
  <c r="AC83" i="1" s="1"/>
  <c r="M49" i="1"/>
  <c r="M50" i="1" s="1"/>
  <c r="AC49" i="1"/>
  <c r="AC46" i="1"/>
  <c r="M12" i="1"/>
  <c r="AC12" i="1"/>
  <c r="AB53" i="1"/>
  <c r="AC53" i="1" s="1"/>
  <c r="AC52" i="1"/>
  <c r="AB26" i="1"/>
  <c r="AC24" i="1"/>
  <c r="AC26" i="1" s="1"/>
  <c r="M114" i="1"/>
  <c r="M72" i="1"/>
  <c r="AC10" i="1"/>
  <c r="AC42" i="1"/>
  <c r="AC43" i="1" s="1"/>
  <c r="AB43" i="1"/>
  <c r="L117" i="1"/>
  <c r="AC121" i="1"/>
  <c r="AC120" i="1" s="1"/>
  <c r="M11" i="1"/>
  <c r="AC11" i="1"/>
  <c r="M26" i="1"/>
  <c r="AC76" i="1"/>
  <c r="AC74" i="1" s="1"/>
  <c r="AB72" i="1"/>
  <c r="AC57" i="1"/>
  <c r="AC72" i="1" s="1"/>
  <c r="L150" i="1"/>
  <c r="L14" i="1"/>
  <c r="L22" i="1" s="1"/>
  <c r="XES129" i="1"/>
  <c r="M134" i="1"/>
  <c r="M120" i="1"/>
  <c r="M110" i="1"/>
  <c r="M101" i="1"/>
  <c r="M74" i="1"/>
  <c r="M92" i="1"/>
  <c r="XES131" i="1"/>
  <c r="M127" i="1"/>
  <c r="M9" i="1"/>
  <c r="L50" i="1"/>
  <c r="L44" i="1"/>
  <c r="XES128" i="1" l="1"/>
  <c r="AC44" i="1"/>
  <c r="L151" i="1"/>
  <c r="L54" i="1"/>
  <c r="AC50" i="1"/>
  <c r="AB50" i="1"/>
  <c r="AC150" i="1"/>
  <c r="AB97" i="1"/>
  <c r="M14" i="1"/>
  <c r="M22" i="1" s="1"/>
  <c r="AB44" i="1"/>
  <c r="AC97" i="1"/>
  <c r="AB117" i="1"/>
  <c r="AC117" i="1"/>
  <c r="AC14" i="1"/>
  <c r="AC22" i="1" s="1"/>
  <c r="AB14" i="1"/>
  <c r="AB22" i="1" s="1"/>
  <c r="M97" i="1"/>
  <c r="M117" i="1"/>
  <c r="M150" i="1"/>
  <c r="M44" i="1"/>
  <c r="AC151" i="1" l="1"/>
  <c r="AB54" i="1"/>
  <c r="AC54" i="1"/>
  <c r="M54" i="1"/>
  <c r="M151" i="1"/>
  <c r="AB154" i="1" l="1"/>
  <c r="AC152" i="1"/>
  <c r="AC154" i="1" s="1"/>
  <c r="L152" i="1"/>
  <c r="M152" i="1"/>
  <c r="M154" i="1" s="1"/>
  <c r="L154" i="1" l="1"/>
  <c r="M155" i="1"/>
  <c r="M156" i="1" s="1"/>
  <c r="M159" i="1" s="1"/>
  <c r="L155" i="1" l="1"/>
  <c r="AB159" i="1" l="1"/>
  <c r="L159" i="1"/>
  <c r="AC155" i="1" l="1"/>
  <c r="AC156" i="1" s="1"/>
  <c r="AC159" i="1" s="1"/>
</calcChain>
</file>

<file path=xl/sharedStrings.xml><?xml version="1.0" encoding="utf-8"?>
<sst xmlns="http://schemas.openxmlformats.org/spreadsheetml/2006/main" count="740" uniqueCount="235">
  <si>
    <t>Projet PRLFP Renforcement du leadership des femmes en politique dans les communes du Bénin: RAPPORT FINANCIER 2025</t>
  </si>
  <si>
    <t>Budget including topping up until 31.12.2026</t>
  </si>
  <si>
    <t xml:space="preserve"> </t>
  </si>
  <si>
    <t>BUDGET GLOBAL PRLFP</t>
  </si>
  <si>
    <t>BUDGET PRLFP 2025</t>
  </si>
  <si>
    <t>1. Budget de l’action</t>
  </si>
  <si>
    <t>01.11.2021-31.12.2026 (62 mois)</t>
  </si>
  <si>
    <t>01.01.2025-31.12.2025 (12 mois)</t>
  </si>
  <si>
    <t>Allocation par Partnenaires</t>
  </si>
  <si>
    <t>Dépenses 2025</t>
  </si>
  <si>
    <t>Solde Budget 2025 au 31.12.2025</t>
  </si>
  <si>
    <t>% consommation 2024</t>
  </si>
  <si>
    <t>Coûts</t>
  </si>
  <si>
    <t>Unité</t>
  </si>
  <si>
    <t>Nº d'unités</t>
  </si>
  <si>
    <t>Valeur unitaire              (en FCFA)</t>
  </si>
  <si>
    <t>Valeur unitaire (en Euro)</t>
  </si>
  <si>
    <t>Coût total (en FCFA)</t>
  </si>
  <si>
    <t>Coût total  (en EUR)</t>
  </si>
  <si>
    <t>Coût total                (en FCFA)</t>
  </si>
  <si>
    <t>Coût total                (en EUR)</t>
  </si>
  <si>
    <t>NIMD</t>
  </si>
  <si>
    <t>IGD</t>
  </si>
  <si>
    <t>CARE</t>
  </si>
  <si>
    <t>FCFA</t>
  </si>
  <si>
    <t>Euro</t>
  </si>
  <si>
    <t>1. Ressources humaines</t>
  </si>
  <si>
    <t>NIMD/IGD</t>
  </si>
  <si>
    <t>1.1 Salaires (montants bruts incluant les charges de sécurité sociale et les autres coûts liés, personnel local)</t>
  </si>
  <si>
    <t xml:space="preserve">   1.1.1 Coordonnateur du projet 50%</t>
  </si>
  <si>
    <t>Par mois</t>
  </si>
  <si>
    <t xml:space="preserve">   1.1.2 Chargé de projet 100%</t>
  </si>
  <si>
    <t xml:space="preserve">   1.1.3 Comptable projet 50%</t>
  </si>
  <si>
    <t xml:space="preserve">   1.1.4 Responsable suivi-évaluation du projet 20%</t>
  </si>
  <si>
    <t xml:space="preserve">   1.2.1 Responsable de programme/Assurance qualité siège 25%</t>
  </si>
  <si>
    <t>Par jour</t>
  </si>
  <si>
    <t>Total NIMD/IGD</t>
  </si>
  <si>
    <t>1.4 Salaires (montants bruts incluant les charges de sécurité sociale et les autres coûts liés, personnel local)</t>
  </si>
  <si>
    <t xml:space="preserve">   1.4.1 Directeur Pays/Assurance qualité 15%</t>
  </si>
  <si>
    <t xml:space="preserve">   1.4.2 Chargé de projet 100%</t>
  </si>
  <si>
    <t xml:space="preserve">   1.4.3 Comptable projet 25%</t>
  </si>
  <si>
    <t xml:space="preserve">   1.4.4 Responsable suivi-évaluation du projet 20%</t>
  </si>
  <si>
    <t>Total CARE</t>
  </si>
  <si>
    <t>Sous-total Ressources humaines</t>
  </si>
  <si>
    <t>2.Location de véhicules</t>
  </si>
  <si>
    <t>2.1 IGD</t>
  </si>
  <si>
    <t>2.2. CARE</t>
  </si>
  <si>
    <t>Sous-total Location de véhicules</t>
  </si>
  <si>
    <t>3. Fournitures</t>
  </si>
  <si>
    <t>3.1 Matériel informatique (Ordinateurs Coord, Chargé Projet, Comptable, Responsable suivi évaluation)</t>
  </si>
  <si>
    <t>Par personne</t>
  </si>
  <si>
    <t>3.2 Matériel informatique (Imprimantes)</t>
  </si>
  <si>
    <t>Par structure</t>
  </si>
  <si>
    <t>3.3 Consommables - fournitures de bureau 50%</t>
  </si>
  <si>
    <t>3.4 Location de bureaux 50%</t>
  </si>
  <si>
    <t>3.5 Autres services (tél./fax, électricité/chauffage, maintenance) 50%</t>
  </si>
  <si>
    <t>3.6 Contribution office maintenance</t>
  </si>
  <si>
    <t>Total IGD</t>
  </si>
  <si>
    <t>3.7 Matériel informatique (Chargé Projet, Comptable)</t>
  </si>
  <si>
    <t>3.8 Matériel informatique (Imprimantes)</t>
  </si>
  <si>
    <t>3.9 Consommables - fournitures de bureau 50%</t>
  </si>
  <si>
    <t>3.10 Location de bureaux 50%</t>
  </si>
  <si>
    <t>3.11 Autres services (tél./fax, électricité/chauffage, maintenance) 50%</t>
  </si>
  <si>
    <t>3.12 Contribution office maintenance</t>
  </si>
  <si>
    <t>Sous-total  Fournitures</t>
  </si>
  <si>
    <t>4. Autres coûts, services</t>
  </si>
  <si>
    <t xml:space="preserve">  </t>
  </si>
  <si>
    <t>4.1 Coûts d'audit/vérification des dépenses</t>
  </si>
  <si>
    <t>Par audit</t>
  </si>
  <si>
    <t>4.2 Coûts d'assurances couverture projet</t>
  </si>
  <si>
    <t xml:space="preserve">Par an </t>
  </si>
  <si>
    <t>4.3 Services financiers (coûts de garantie bancaire, etc.)</t>
  </si>
  <si>
    <t>4.4 Actions de visibilité</t>
  </si>
  <si>
    <t>Par an</t>
  </si>
  <si>
    <t>Sous-total Autres coûts, services</t>
  </si>
  <si>
    <t>5.1 Equipement support activités</t>
  </si>
  <si>
    <t>5.1.1 Photocopieur</t>
  </si>
  <si>
    <t>Par équipement</t>
  </si>
  <si>
    <t>Sous-total Equipement support activités</t>
  </si>
  <si>
    <t>Total Fonctionnement</t>
  </si>
  <si>
    <t>A.0 Activités transversales</t>
  </si>
  <si>
    <t>A.0.1.1 Atelier de lancement et de présentation du projet</t>
  </si>
  <si>
    <t>Par atelier</t>
  </si>
  <si>
    <t>A.0.2.1 Atelier d’appropriation des acteurs de mise en œuvre sur les outils/approches ainsi que les procédures à utiliser dans le cadre du projet</t>
  </si>
  <si>
    <t xml:space="preserve">A.0.2.2 Atelier d’appropriation de la mise à jour du PRLFP </t>
  </si>
  <si>
    <t>A.0.3.1 Etude de référence</t>
  </si>
  <si>
    <t>Par étude</t>
  </si>
  <si>
    <t>A.0.3.2 Mise à jour des indicateurs de référence du projet</t>
  </si>
  <si>
    <t>Par activité</t>
  </si>
  <si>
    <t>A.0.4 Activités de suivi du projet ( Mise en place du Comité de suivi du projet et ateliers de planification et de revue semestrielles et annuelles ):</t>
  </si>
  <si>
    <t xml:space="preserve">A.0.4.1 Atelier de planification annuelle du projet </t>
  </si>
  <si>
    <t>A.0.4.2 Organisation de la réunion annuelle  du comité de pilotage</t>
  </si>
  <si>
    <t xml:space="preserve">A.0.4.3 Atelier de revue semestrielle du projet </t>
  </si>
  <si>
    <t>A.0.5 Mission de Suivi et de coordination des activités par NIMD et mission CARE or IGD staff dans le cadre de partenariat et training</t>
  </si>
  <si>
    <t>Par mission</t>
  </si>
  <si>
    <t>A.0.6 Activités d'évaluation et de capitalisation:</t>
  </si>
  <si>
    <t>A.0.6.1 Evaluation externe 1 (Evaluation à mi-parcours du projet)</t>
  </si>
  <si>
    <t>A.0.6.2 Evaluation externe 2 (Evaluation finale  du projet)</t>
  </si>
  <si>
    <t>A.0.6.3 Capitalisation et gestion du savoir (y compris la communication et la visibilité)</t>
  </si>
  <si>
    <t>A.0.7  Actions de visibilité ( Supports de visibilité sur le projet (Kakemono ; dépliants ; Flyers ; T-shirt, casquettes, etc..)</t>
  </si>
  <si>
    <t>Sous-total Activités transversales</t>
  </si>
  <si>
    <t>Résultat 1 : Les femmes Maires, élues conseillères et députés réussissent leur mandat et ont été reconduites aux prochaines élections générales</t>
  </si>
  <si>
    <t>A.1.1  Renforcement des capacités des femmes élues communales pour une mise en œuvre réussie de leurs missions et rôles (en fonction des besoins spécifiques)</t>
  </si>
  <si>
    <t xml:space="preserve">A.1.1.1 Formation des élues restants sur le code de l’administration territoriale </t>
  </si>
  <si>
    <t xml:space="preserve">A.1.1.2 Organisation d’une visite d’échanges d’expériences entre femmes Maires et ou élues locales du Bénin et de la sous-région (Sénégal, etc.) </t>
  </si>
  <si>
    <t xml:space="preserve">A.1.2 Orientation des femmes élues Maires, Adjointes au Maires et Cheffe d'Arrondissement (CA) sur les outils de reddition des comptes (évaluation de la qualité des services publics) et appui dans la réalisation de quelques séances de reddition des comptes dans leurs localités </t>
  </si>
  <si>
    <t>A.1.2.1 Suivi post formation et appui du consultant aux élues conseillères (Maires, Adjointes aux Maires et CA) dans l'organisation des séances de reddition des comptes ou d'interactions avec les citoyens</t>
  </si>
  <si>
    <t>A.1.3 Formation des responsables des partis politiques au niveau national et des représentants de leurs coordinations au niveau communal et départemental sur le genre, l’inclusion et la gouvernance  (5responsables nationaux/départementaux*15partis politiques*2sessions)</t>
  </si>
  <si>
    <t>A.1.4  Organisation de dialogues réflectifs avec les leaders politiques (Commission parlementaire de loi, Responsables des partis politiques, etc.…) pour un bon positionnement des femmes candidates dans la perspective des prochaines élections communales(1dialogue*2sem*2ans)</t>
  </si>
  <si>
    <t>A.1.5 Initiatives Jeunes Assistant.e.s de Députées</t>
  </si>
  <si>
    <t xml:space="preserve">A.1.5.1 Sélection des jeunes Assistant.e.s  et organisation de séance d'échanges et d'orientation </t>
  </si>
  <si>
    <t>A.1.5.2 Acquisition de matériel informatique au profit des Assistant.e.s</t>
  </si>
  <si>
    <t>A.1.5.3 Renforcement de capacités des jeunes Assistant.e.s</t>
  </si>
  <si>
    <t>A.1.5.4 Elaboration du guide de l'assistant-e du député et de son cahier de charge.</t>
  </si>
  <si>
    <t>A.1.5.5 Mise en œuvre de l'initiative (Appui aux femmes députées par les jeunes Assistant.e.s)</t>
  </si>
  <si>
    <t xml:space="preserve">A.1.5.6 Evaluation de l'initiative à mi-parcours </t>
  </si>
  <si>
    <t>A.1.5.7 Mission de Supervision et de suivi des Assistant.e.s</t>
  </si>
  <si>
    <t>A.1.5.8 Récyclage des jeunes Assistant.e.s ( Nouvelle activité)</t>
  </si>
  <si>
    <t>A.1.6 Renforcement de la visibilité des femmes élues par la mise en place et l’exécution d’un plan d’actions de communication et visibilité  avec des actions innovantes</t>
  </si>
  <si>
    <t>A.1.6.1 Renforcement de capacités des femmes élues conseillères en e-réputation, communication digitale sur (l’actualité de l’élue membre de l’exécutif communal, etc.) et assistance pour création page facebook</t>
  </si>
  <si>
    <t>A.1.6.2 Mise en place d’une fenêtre de visibilité des femmes élues Maires et conseillères sur la plateforme des partis politiques créée par NIMD (www.portailpartispolitiques.bj)</t>
  </si>
  <si>
    <t>A.1.6 Elaboration d’un agenda de plaidoyer et d’apprentissage pour renforcer le leadership politique des femmes élues et les futures élues avec entre autres les actions :</t>
  </si>
  <si>
    <t>Sous-total Résultat 1</t>
  </si>
  <si>
    <t xml:space="preserve">Résultat 2 : La présence des femmes aux postes d’influences au niveau local a augmenté grâce à l’engagement des Partis Politiques pour la promotion du leadership des femmes </t>
  </si>
  <si>
    <t xml:space="preserve">A.2.1 Recrutement d’une pépinière de 180 femmes de toutes catégories socio-professionnels influentes et jeunes femmes aspirantes à la vie politique </t>
  </si>
  <si>
    <t xml:space="preserve">A.2.2 Sessions de réflexions sur les parcours de leadership et de bilan portfolio des femmes sélectionnées </t>
  </si>
  <si>
    <t xml:space="preserve">A.2.3 Pogramme de coaching et de mentorat au profit de nouvelles femmes leaders influentes et les jeunes activistes aspirantes pour renforcer leur confiance en soi, et améliorer leur militantisme au sein des partis politiques </t>
  </si>
  <si>
    <t xml:space="preserve">A.2.3.1 Identification/sélection de 53 coach-e-s </t>
  </si>
  <si>
    <t xml:space="preserve">A.2.3.2 Organisation d’une session de renforcement de capacités des coach-e-s sur les techniques de coaching </t>
  </si>
  <si>
    <t>A.2.3.3 Soutien à l’organisation des séances individuelles et collectives de coaching et de suivi des plans de développement  personnel des filleules</t>
  </si>
  <si>
    <t xml:space="preserve">A.2.4 Organisation d'un plaidoyer en vue d'une proposition de loi pour la discrimination positive à l'égard des femmes sur les listes de candidature aux élections municipales et communales  </t>
  </si>
  <si>
    <t xml:space="preserve">A.2.4.1 Fournir une assistance techinque spécialisée dans la conduite d'une trajectoire de plaidoyer-Lobbying. </t>
  </si>
  <si>
    <t xml:space="preserve">A.2.4.2 Mobiliser autour des enjeux de l’object du plaidoyer les réseaux de femmes élues (Réseau des Femmes, Elues Communales (REFEC), Union des Femmes Elues Communales (UFEC), Réseaux des participantes aux programmes de leadership (FENEP…) et les Organisations féminines de défense des droits des femmes </t>
  </si>
  <si>
    <t xml:space="preserve">A.2.4.3 Elaborer un agenda de plaidoyer participatif avec les organisations concernées et les acteurs des programmes similaires au Bénin  </t>
  </si>
  <si>
    <t>A.2.5 Appui aux intiatives du Caucus des femmes parlementaires du Bénin au profit du leadership politique féminin</t>
  </si>
  <si>
    <t xml:space="preserve">A.2.6 Accompagner les Partis Politiques à adopter et mettre en œuvre des mesures, stratégies et approches visant à promouvoir la présence, l’influence et l’accession des femmes à des responsabilités au sein de leur Parti Politique et dans les instances de décision </t>
  </si>
  <si>
    <t>A.2.6.1 Formation des formateurs de  l’équipe de projet sur l’outil GRIPP de NIMD</t>
  </si>
  <si>
    <t xml:space="preserve">A.2.6.2 Identification et renforcement  des femmes et hommes Points Focaux Genre-Diversité-Inclusion </t>
  </si>
  <si>
    <t xml:space="preserve">A.2.6.3 Organisation des rencontres de suivi annuel et de co-apprentissage avec les points focaux Genre des partis politiques : </t>
  </si>
  <si>
    <t xml:space="preserve">A.2.7 Appui à la prise en compte du genre dans le fonctionnement des écoles des partis politiques  (mise en place d’un Plan d’action Genre Equité et Diversité pour les partis politiques et accompagnement des membres des bureaux des partis pour l’atteinte des résultats </t>
  </si>
  <si>
    <t>A.2.7.1 Réalisation de l'état des lieux de la prise en compte du genre au sein des écoles de parti</t>
  </si>
  <si>
    <t xml:space="preserve">A.2.7.2 Facilitation de la réalisation par les partis politiques des analyses Genre au sein de leur organisation et élaboration d'un plan d’action par parti politique en faveur de l’égalité des sexes </t>
  </si>
  <si>
    <t>Sous-total Résultat 2</t>
  </si>
  <si>
    <t>Résultat 3 : Les communes disposent à la fin du projet de femmes renforcées en leadership politique, dynamiques,  militantes dans les partis politiques et capables de faire évoluer les carrières politiques ou de devenir des dirigeantes performantes dans un environnement sans discriminations ni violences</t>
  </si>
  <si>
    <t xml:space="preserve">A.3.1 Rencontres d’échanges et appuis du projet à la redynamisation des anciens réseaux départementaux des jeunes filles et femmes leaders formés par d’autres programmes (RECAFEM, JLB, YALI, NIMD, etc.) élargi aux nouvelles femmes leaders influentes et jeunes activistes aspirantes à la fonction politique. </t>
  </si>
  <si>
    <t xml:space="preserve"> A.3.2 Faciliter la mise en place d’une plateforme d’échanges et d’apprentissage entre les jeunes femmes leaders aspirant à la fonction politique issues des divers programmes de leadership féminin.</t>
  </si>
  <si>
    <t xml:space="preserve">A.3.2.1 Organiser une rencontre de réflexion sur la mise en place du cadre d’échanges entre les femmes renforcées aspirantes à la fonction politique issues des programmes leadership de CARE-IGD/NIMD </t>
  </si>
  <si>
    <t xml:space="preserve">A.3.2.2 Conduire une analyse sur les besoins en renforcement des anciennes promotions des programmes de leadership </t>
  </si>
  <si>
    <t>A.3.2.3 Appuyer le développement des différents instruments de fonctionnement de ce cadre (objectifs, types de plateformes, règles, la gouvernance, la configuration numérique…)</t>
  </si>
  <si>
    <t xml:space="preserve">A.3.2.4 Organisation des rencontres virtuelles trimestrielles de partage, d’apprentissage et de panel de discussion </t>
  </si>
  <si>
    <t xml:space="preserve">A.3.2.5 Appui à l’organisation d’un leadership camp  </t>
  </si>
  <si>
    <t>A.3.3 Appui à la prise en compte du genre dans le fonctionnement des écoles des partis politiques : mise en place d’un Plan d’action Genre Equité et Diversité pour les partis politiques et orientation et coaching régulier des membres des bureaux des partis(1appui*15écoles*4semestres)</t>
  </si>
  <si>
    <t>A3.4 : Ecole politique des femmes leaders : sélection dans toutes les communes des femmes militantes des partis ou femmes leaders devant suivre des sessions de formations pour le renforcement de leurs capacités et de leur leadership dans le militantisme politique</t>
  </si>
  <si>
    <t>A.3.4.1 Sélection des bénéficiaires des écoles</t>
  </si>
  <si>
    <t>A.3.4.2 Organisation des sessions de formation et des cafés politiques inter-sessions</t>
  </si>
  <si>
    <t xml:space="preserve">A.3.4.3 Dialogue et médiation avec les conjoints pour la masculinité positive en faveur du leadership des femmes en politique  </t>
  </si>
  <si>
    <t>A.3.4.4 Organisation des  cafés politiques ouverts</t>
  </si>
  <si>
    <t xml:space="preserve">A.3.4.5 Organisation de la visite des institutions </t>
  </si>
  <si>
    <t>A.3.4.6 Organisation de la cérémonie de sortie des bénéficiares</t>
  </si>
  <si>
    <t xml:space="preserve">A.3.5 Catalyst Initiative pour le développement d’une pépinière de femmes leaders ou influentes et des jeunes activistes aspirantes à la fonction politique </t>
  </si>
  <si>
    <t xml:space="preserve">A.3.5.1 Lancement de l'appel à participation: </t>
  </si>
  <si>
    <t xml:space="preserve">A.3.5.2 Etude des dossiers, entretien et sélection des bénéficiaires </t>
  </si>
  <si>
    <t>A.3.5.3 Sessions de réflexions sur les parcours de leadership des femmes sélectionnées</t>
  </si>
  <si>
    <t>A.3.5.4 Identification et formation des coachs</t>
  </si>
  <si>
    <t>A.3.5.5 Organisation des séances individuelles de coaching des femmes recrutées pour renforcer leur confiance en soi, et améliorer leur militantisme au sein des partis politiques.</t>
  </si>
  <si>
    <t xml:space="preserve">A.3.5.6 ancien A.2.3 Pogramme de coaching et de mentorat au profit de nouvelles femmes leaders influentes et les jeunes activistes aspirantes pour renforcer leur confiance en soi, et améliorer leur militantisme au sein des partis politiques </t>
  </si>
  <si>
    <t>A.3.5.7 Organiser les séances de sortie avec les pépinières de la cohorte 1 et 2.  (Nouvelle activité)</t>
  </si>
  <si>
    <t xml:space="preserve">A.3.5.8 Organiser des accompagnements spécifiques aux pépinières de la cohorte 1 et 2 </t>
  </si>
  <si>
    <t>A3.6: Renforcement de capacités des femmes élues conseillères, des femmes alumnis de l’école politique féminine multipartite, de l'école de la démocratie et des membres de la pépinière candidates aux élections de Janvier 2026</t>
  </si>
  <si>
    <t xml:space="preserve">A.3.7 Communication pour un Changement de Comportement (CCC) visant la déconstruction des normes sociales de genre qui entravent le positionnement et l’émergence des femmes en politique </t>
  </si>
  <si>
    <t>A.3.7.2 Organisation d'une campagne de sensibilisation radiophonique  contre les violences et autres discriminations basées sur le genre lors des élections générales de 2026 par le soutien aux défenseurs de l'égalité des droits.</t>
  </si>
  <si>
    <t>A.3.7.3 Organisation d'un concours des meilleurs messages de sensibilisation en faveur du leadership politique des femmes postés par les web activistes</t>
  </si>
  <si>
    <t>A.3.8 Appui à l'Institut National de la Femme</t>
  </si>
  <si>
    <t>A.3.8.1 Appui à diverses initiatives de promotion de leadership politique féminin</t>
  </si>
  <si>
    <t>A.3.8.2 Contribution à l'organisation des rencontres intergénérationnelles entre femmes leaders (Nouvelle activité)</t>
  </si>
  <si>
    <t>Sous-total Résultat 3</t>
  </si>
  <si>
    <t>Sous-total Activités</t>
  </si>
  <si>
    <t>7.  Sous-total des coûts directs éligibles de l'action (1 à 6)</t>
  </si>
  <si>
    <t xml:space="preserve">8. Provision pour imprévus (maximum 5 % de la ligne 7 Sous-total des coûts directs éligibles de l’action </t>
  </si>
  <si>
    <t xml:space="preserve">9. Total des coûts directs éligibles de l'action (7+8) </t>
  </si>
  <si>
    <t xml:space="preserve">10. Coûts indirects (maximum 7 % de la ligne 7 Sous-total des coûts directs éligibles de l’action) </t>
  </si>
  <si>
    <t>11. Total des coûts éligibles (9+10)</t>
  </si>
  <si>
    <t>12.  - Taxes</t>
  </si>
  <si>
    <t>12.  - Contributions en nature</t>
  </si>
  <si>
    <t>13. Total des coûts acceptés de l'action (11+12)</t>
  </si>
  <si>
    <t>TOTAL DEPENSES 2025</t>
  </si>
  <si>
    <t>COUT INDIRECT</t>
  </si>
  <si>
    <t>TOTAL 2025</t>
  </si>
  <si>
    <t>Projet PRLFP Renforcement du leadership des femmes en politique dans les communes du Bénin: RAPPORT FINANCIER 2024</t>
  </si>
  <si>
    <t>Depenses cumulatives jusqu"à 31.12.2024</t>
  </si>
  <si>
    <t>01.11.2021-30.06.2025 (42 mois)</t>
  </si>
  <si>
    <t>Dépenses approuvées 2022</t>
  </si>
  <si>
    <t>Dépenses approuvées 2023</t>
  </si>
  <si>
    <t>Cumul des dépenses 2022 + 2023</t>
  </si>
  <si>
    <t>Dépenses 2024</t>
  </si>
  <si>
    <t>Dépenses cumulées à fin 2024</t>
  </si>
  <si>
    <t>Dépenses cumulées à fin 2025</t>
  </si>
  <si>
    <t>Solde Budget  global au 31.12.2025</t>
  </si>
  <si>
    <t>% Consommation globale</t>
  </si>
  <si>
    <t>Valeur unitaire              (en EUR)</t>
  </si>
  <si>
    <t>%</t>
  </si>
  <si>
    <t>Replanification consommations antérieures</t>
  </si>
  <si>
    <t>BUDGET 2025</t>
  </si>
  <si>
    <t>% Exécution 2025</t>
  </si>
  <si>
    <t>2. Location véhicules</t>
  </si>
  <si>
    <t>4. Autres coûts</t>
  </si>
  <si>
    <t>5. Equipements</t>
  </si>
  <si>
    <t>Activités transversales</t>
  </si>
  <si>
    <t>Total activités</t>
  </si>
  <si>
    <t xml:space="preserve">10. Coûts indirects (maximum 10 % de la ligne 7 Sous-total des coûts directs éligibles de l’action) </t>
  </si>
  <si>
    <t>TABLEAU DES RESSOURCES ET EMPLOIS AU 31/12/2025</t>
  </si>
  <si>
    <t>RUBRIQUES</t>
  </si>
  <si>
    <t>MONTANT</t>
  </si>
  <si>
    <t>EUROS</t>
  </si>
  <si>
    <t>SOLDE D'OUVERTURE AU 01/01/2025</t>
  </si>
  <si>
    <t>ENTREES DE LA PERIODE</t>
  </si>
  <si>
    <t>VIREMENTS RECUS</t>
  </si>
  <si>
    <t>TOTAL RESSOURCE DISPONIBLE</t>
  </si>
  <si>
    <t>EMPLOIS DE LA PERIODE</t>
  </si>
  <si>
    <t>Résultat 1 : Les femmes actuellement Maires et élues conseillères ont été reconduites aux prochaines élections municipales et communales et de nouvelles femmes ont été élues</t>
  </si>
  <si>
    <t>Résultat 2 : La présence des femmes aux postes d’influences au niveau local a augmenté</t>
  </si>
  <si>
    <t>Résultat 3 : Les communes disposent à la fin du projet d’assez de femmes renforcées en leadership politique, dynamiques et militantes dans les partis politiques</t>
  </si>
  <si>
    <t>SOLDE DISPONIBLE AU 31/12/2025</t>
  </si>
  <si>
    <t>SOLDE A LA BANQUE CORIS BANK BENIN</t>
  </si>
  <si>
    <t>SOLDE EN CAISSE</t>
  </si>
  <si>
    <t xml:space="preserve">AVANCE ACTIVITES </t>
  </si>
  <si>
    <t xml:space="preserve">PREFINACEMENT </t>
  </si>
  <si>
    <t>AIB A REGULARISER</t>
  </si>
  <si>
    <t>CNSS A REGULARISER</t>
  </si>
  <si>
    <t>SOLDE JUSTIFIABLE  / IGD</t>
  </si>
  <si>
    <t>SOLDE JUSTIFIABLE  / CARE</t>
  </si>
  <si>
    <t>SOLDE JUSTIFIABLE  / NIMD</t>
  </si>
  <si>
    <t>RESPONSABLE ADMINISTRATIF                                              DIRECTEUR EXECUTIF</t>
  </si>
  <si>
    <t xml:space="preserve">               ET FINANCIER</t>
  </si>
  <si>
    <r>
      <t xml:space="preserve">            </t>
    </r>
    <r>
      <rPr>
        <b/>
        <u/>
        <sz val="12"/>
        <color theme="1"/>
        <rFont val="Book Antiqua"/>
        <family val="1"/>
      </rPr>
      <t>M. Djamal FOUSSENI</t>
    </r>
    <r>
      <rPr>
        <b/>
        <sz val="12"/>
        <color theme="1"/>
        <rFont val="Book Antiqua"/>
        <family val="1"/>
      </rPr>
      <t xml:space="preserve">                                                       </t>
    </r>
    <r>
      <rPr>
        <b/>
        <u/>
        <sz val="12"/>
        <color theme="1"/>
        <rFont val="Book Antiqua"/>
        <family val="1"/>
      </rPr>
      <t>M. Azizou CHABI IMOROU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</si>
</sst>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_-;\-* #,##0_-;_-* &quot;-&quot;_-;_-@_-"/>
    <numFmt numFmtId="165" formatCode="_-* #,##0.0_-;\-* #,##0.0_-;_-* &quot;-&quot;_-;_-@_-"/>
    <numFmt numFmtId="166" formatCode="_-* #,##0.000_-;\-* #,##0.000_-;_-* &quot;-&quot;_-;_-@_-"/>
    <numFmt numFmtId="167" formatCode="_ * #,##0_ ;_ * \-#,##0_ ;_ * &quot;-&quot;_ ;_ @_ "/>
    <numFmt numFmtId="168" formatCode="_-* #,##0.00\ _€_-;\-* #,##0.00\ _€_-;_-* &quot;-&quot;??\ _€_-;_-@_-"/>
    <numFmt numFmtId="169" formatCode="_-* #,##0\ _€_-;\-* #,##0\ _€_-;_-* &quot;-&quot;??\ _€_-;_-@_-"/>
  </numFmts>
  <fonts count="23">
    <font>
      <sz val="11"/>
      <color theme="1"/>
      <name val="Calibri"/>
      <family val="2"/>
      <scheme val="minor"/>
    </font>
    <font>
      <sz val="11"/>
      <color theme="1"/>
      <name val="Calibri"/>
      <family val="2"/>
      <scheme val="minor"/>
    </font>
    <font>
      <b/>
      <sz val="10"/>
      <name val="Calibri"/>
      <family val="2"/>
      <scheme val="minor"/>
    </font>
    <font>
      <b/>
      <i/>
      <sz val="10"/>
      <name val="Calibri"/>
      <family val="2"/>
      <scheme val="minor"/>
    </font>
    <font>
      <sz val="10"/>
      <name val="Calibri"/>
      <family val="2"/>
      <scheme val="minor"/>
    </font>
    <font>
      <i/>
      <sz val="10"/>
      <name val="Calibri"/>
      <family val="2"/>
      <scheme val="minor"/>
    </font>
    <font>
      <b/>
      <sz val="11"/>
      <name val="Calibri Light"/>
      <family val="2"/>
      <scheme val="major"/>
    </font>
    <font>
      <b/>
      <sz val="10"/>
      <name val="Calibri Light"/>
      <family val="2"/>
      <scheme val="major"/>
    </font>
    <font>
      <sz val="10"/>
      <color rgb="FFFF0000"/>
      <name val="Calibri"/>
      <family val="2"/>
      <scheme val="minor"/>
    </font>
    <font>
      <b/>
      <sz val="14"/>
      <name val="Calibri"/>
      <family val="2"/>
      <scheme val="minor"/>
    </font>
    <font>
      <b/>
      <sz val="12"/>
      <name val="Calibri"/>
      <family val="2"/>
      <scheme val="minor"/>
    </font>
    <font>
      <b/>
      <sz val="11"/>
      <color theme="1"/>
      <name val="Calibri"/>
      <family val="2"/>
      <scheme val="minor"/>
    </font>
    <font>
      <sz val="10"/>
      <name val="Calibri Light"/>
      <family val="2"/>
      <scheme val="major"/>
    </font>
    <font>
      <b/>
      <sz val="18"/>
      <name val="Calibri Light"/>
      <family val="2"/>
      <scheme val="major"/>
    </font>
    <font>
      <b/>
      <sz val="12"/>
      <color theme="1"/>
      <name val="Book Antiqua"/>
      <family val="1"/>
    </font>
    <font>
      <sz val="12"/>
      <color theme="1"/>
      <name val="Book Antiqua"/>
      <family val="1"/>
    </font>
    <font>
      <i/>
      <sz val="12"/>
      <color theme="1"/>
      <name val="Book Antiqua"/>
      <family val="1"/>
    </font>
    <font>
      <b/>
      <sz val="12"/>
      <color rgb="FF000000"/>
      <name val="Book Antiqua"/>
      <family val="1"/>
    </font>
    <font>
      <sz val="12"/>
      <color rgb="FF000000"/>
      <name val="Book Antiqua"/>
      <family val="1"/>
    </font>
    <font>
      <b/>
      <u/>
      <sz val="12"/>
      <color theme="1"/>
      <name val="Book Antiqua"/>
      <family val="1"/>
    </font>
    <font>
      <sz val="10"/>
      <color theme="1"/>
      <name val="Calibri"/>
      <family val="2"/>
      <scheme val="minor"/>
    </font>
    <font>
      <sz val="11"/>
      <color theme="1"/>
      <name val="Arial"/>
      <family val="2"/>
    </font>
    <font>
      <sz val="9"/>
      <color theme="1"/>
      <name val="Segoe UI"/>
      <family val="2"/>
    </font>
  </fonts>
  <fills count="12">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00"/>
        <bgColor indexed="64"/>
      </patternFill>
    </fill>
    <fill>
      <patternFill patternType="solid">
        <fgColor rgb="FFFFC000"/>
        <bgColor indexed="64"/>
      </patternFill>
    </fill>
    <fill>
      <patternFill patternType="solid">
        <fgColor theme="0" tint="-0.249977111117893"/>
        <bgColor indexed="64"/>
      </patternFill>
    </fill>
    <fill>
      <patternFill patternType="solid">
        <fgColor theme="0"/>
        <bgColor indexed="64"/>
      </patternFill>
    </fill>
    <fill>
      <patternFill patternType="solid">
        <fgColor rgb="FFFF6D6D"/>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00B05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cellStyleXfs>
  <cellXfs count="213">
    <xf numFmtId="0" fontId="0" fillId="0" borderId="0" xfId="0"/>
    <xf numFmtId="164" fontId="4" fillId="0" borderId="0" xfId="1" applyFont="1" applyAlignment="1">
      <alignment vertical="center"/>
    </xf>
    <xf numFmtId="164" fontId="4" fillId="0" borderId="0" xfId="1" applyFont="1" applyBorder="1" applyAlignment="1">
      <alignment horizontal="left" vertical="center"/>
    </xf>
    <xf numFmtId="164" fontId="2" fillId="0" borderId="1" xfId="1" applyFont="1" applyBorder="1" applyAlignment="1">
      <alignment vertical="center"/>
    </xf>
    <xf numFmtId="164" fontId="4" fillId="0" borderId="0" xfId="1" applyFont="1" applyAlignment="1">
      <alignment horizontal="left" vertical="center"/>
    </xf>
    <xf numFmtId="164" fontId="2" fillId="0" borderId="0" xfId="1" applyFont="1" applyBorder="1" applyAlignment="1">
      <alignment horizontal="left" vertical="center"/>
    </xf>
    <xf numFmtId="164" fontId="5" fillId="0" borderId="0" xfId="1" applyFont="1" applyAlignment="1">
      <alignment vertical="center"/>
    </xf>
    <xf numFmtId="164" fontId="4" fillId="0" borderId="0" xfId="1" applyFont="1" applyBorder="1" applyAlignment="1">
      <alignment vertical="center"/>
    </xf>
    <xf numFmtId="164" fontId="3" fillId="2" borderId="1" xfId="1" applyFont="1" applyFill="1" applyBorder="1" applyAlignment="1">
      <alignment horizontal="center" vertical="center"/>
    </xf>
    <xf numFmtId="164" fontId="2" fillId="2" borderId="1" xfId="1" applyFont="1" applyFill="1" applyBorder="1" applyAlignment="1">
      <alignment horizontal="center" vertical="center"/>
    </xf>
    <xf numFmtId="164" fontId="4" fillId="6" borderId="1" xfId="1" applyFont="1" applyFill="1" applyBorder="1" applyAlignment="1">
      <alignment horizontal="center" vertical="center"/>
    </xf>
    <xf numFmtId="164" fontId="2" fillId="0" borderId="1" xfId="1" applyFont="1" applyBorder="1" applyAlignment="1">
      <alignment vertical="center" wrapText="1"/>
    </xf>
    <xf numFmtId="164" fontId="3" fillId="0" borderId="1" xfId="1" applyFont="1" applyBorder="1" applyAlignment="1">
      <alignment horizontal="center" vertical="center"/>
    </xf>
    <xf numFmtId="164" fontId="2" fillId="3" borderId="1" xfId="1" applyFont="1" applyFill="1" applyBorder="1" applyAlignment="1">
      <alignment vertical="center"/>
    </xf>
    <xf numFmtId="164" fontId="2" fillId="3" borderId="1" xfId="1" applyFont="1" applyFill="1" applyBorder="1" applyAlignment="1">
      <alignment horizontal="center" vertical="center"/>
    </xf>
    <xf numFmtId="164" fontId="5" fillId="0" borderId="1" xfId="1" applyFont="1" applyBorder="1" applyAlignment="1">
      <alignment horizontal="center" vertical="center"/>
    </xf>
    <xf numFmtId="164" fontId="4" fillId="3" borderId="1" xfId="1" applyFont="1" applyFill="1" applyBorder="1" applyAlignment="1">
      <alignment vertical="center"/>
    </xf>
    <xf numFmtId="164" fontId="4" fillId="6" borderId="1" xfId="1" applyFont="1" applyFill="1" applyBorder="1" applyAlignment="1">
      <alignment vertical="center"/>
    </xf>
    <xf numFmtId="164" fontId="2" fillId="2" borderId="1" xfId="1" applyFont="1" applyFill="1" applyBorder="1" applyAlignment="1">
      <alignment vertical="center"/>
    </xf>
    <xf numFmtId="164" fontId="2" fillId="4" borderId="1" xfId="1" applyFont="1" applyFill="1" applyBorder="1" applyAlignment="1">
      <alignment vertical="center"/>
    </xf>
    <xf numFmtId="164" fontId="3" fillId="6" borderId="1" xfId="1" applyFont="1" applyFill="1" applyBorder="1" applyAlignment="1">
      <alignment vertical="center" wrapText="1"/>
    </xf>
    <xf numFmtId="164" fontId="2" fillId="6" borderId="1" xfId="1" applyFont="1" applyFill="1" applyBorder="1" applyAlignment="1">
      <alignment vertical="center"/>
    </xf>
    <xf numFmtId="164" fontId="3" fillId="5" borderId="1" xfId="1" applyFont="1" applyFill="1" applyBorder="1" applyAlignment="1">
      <alignment vertical="center" wrapText="1"/>
    </xf>
    <xf numFmtId="164" fontId="4" fillId="5" borderId="1" xfId="1" applyFont="1" applyFill="1" applyBorder="1" applyAlignment="1">
      <alignment vertical="center"/>
    </xf>
    <xf numFmtId="164" fontId="2" fillId="5" borderId="1" xfId="1" applyFont="1" applyFill="1" applyBorder="1" applyAlignment="1">
      <alignment vertical="center"/>
    </xf>
    <xf numFmtId="164" fontId="5" fillId="0" borderId="1" xfId="1" applyFont="1" applyBorder="1" applyAlignment="1">
      <alignment vertical="center"/>
    </xf>
    <xf numFmtId="164" fontId="5" fillId="7" borderId="1" xfId="1" applyFont="1" applyFill="1" applyBorder="1" applyAlignment="1">
      <alignment horizontal="center" vertical="center"/>
    </xf>
    <xf numFmtId="164" fontId="4" fillId="7" borderId="1" xfId="1" applyFont="1" applyFill="1" applyBorder="1" applyAlignment="1">
      <alignment vertical="center"/>
    </xf>
    <xf numFmtId="164" fontId="4" fillId="7" borderId="0" xfId="1" applyFont="1" applyFill="1" applyAlignment="1">
      <alignment vertical="center"/>
    </xf>
    <xf numFmtId="164" fontId="3" fillId="7" borderId="1" xfId="1" applyFont="1" applyFill="1" applyBorder="1" applyAlignment="1">
      <alignment horizontal="center" vertical="center"/>
    </xf>
    <xf numFmtId="164" fontId="2" fillId="7" borderId="1" xfId="1" applyFont="1" applyFill="1" applyBorder="1" applyAlignment="1">
      <alignment vertical="center"/>
    </xf>
    <xf numFmtId="164" fontId="2" fillId="7" borderId="0" xfId="1" applyFont="1" applyFill="1" applyAlignment="1">
      <alignment vertical="center"/>
    </xf>
    <xf numFmtId="164" fontId="3" fillId="7" borderId="1" xfId="1" applyFont="1" applyFill="1" applyBorder="1" applyAlignment="1">
      <alignment vertical="center"/>
    </xf>
    <xf numFmtId="164" fontId="5" fillId="7" borderId="1" xfId="1" applyFont="1" applyFill="1" applyBorder="1" applyAlignment="1">
      <alignment horizontal="right" vertical="center"/>
    </xf>
    <xf numFmtId="164" fontId="5" fillId="7" borderId="1" xfId="1" applyFont="1" applyFill="1" applyBorder="1" applyAlignment="1">
      <alignment vertical="center"/>
    </xf>
    <xf numFmtId="164" fontId="3" fillId="7" borderId="0" xfId="1" applyFont="1" applyFill="1" applyAlignment="1">
      <alignment vertical="center"/>
    </xf>
    <xf numFmtId="164" fontId="5" fillId="7" borderId="0" xfId="1" applyFont="1" applyFill="1" applyAlignment="1">
      <alignment vertical="center"/>
    </xf>
    <xf numFmtId="164" fontId="5" fillId="7" borderId="0" xfId="1" applyFont="1" applyFill="1" applyAlignment="1">
      <alignment horizontal="right" vertical="center"/>
    </xf>
    <xf numFmtId="164" fontId="5" fillId="3" borderId="1" xfId="1" applyFont="1" applyFill="1" applyBorder="1" applyAlignment="1">
      <alignment vertical="center"/>
    </xf>
    <xf numFmtId="164" fontId="3" fillId="8" borderId="1" xfId="1" applyFont="1" applyFill="1" applyBorder="1" applyAlignment="1">
      <alignment horizontal="center" vertical="center"/>
    </xf>
    <xf numFmtId="164" fontId="3" fillId="8" borderId="1" xfId="1" applyFont="1" applyFill="1" applyBorder="1" applyAlignment="1">
      <alignment vertical="center"/>
    </xf>
    <xf numFmtId="164" fontId="2" fillId="8" borderId="1" xfId="1" applyFont="1" applyFill="1" applyBorder="1" applyAlignment="1">
      <alignment vertical="center"/>
    </xf>
    <xf numFmtId="165" fontId="4" fillId="3" borderId="1" xfId="1" applyNumberFormat="1" applyFont="1" applyFill="1" applyBorder="1" applyAlignment="1">
      <alignment vertical="center"/>
    </xf>
    <xf numFmtId="9" fontId="4" fillId="3" borderId="1" xfId="2" applyFont="1" applyFill="1" applyBorder="1" applyAlignment="1">
      <alignment vertical="center"/>
    </xf>
    <xf numFmtId="9" fontId="4" fillId="0" borderId="0" xfId="2" applyFont="1" applyAlignment="1">
      <alignment horizontal="left" vertical="center"/>
    </xf>
    <xf numFmtId="9" fontId="4" fillId="0" borderId="0" xfId="2" applyFont="1" applyAlignment="1">
      <alignment vertical="center"/>
    </xf>
    <xf numFmtId="9" fontId="2" fillId="3" borderId="1" xfId="2" applyFont="1" applyFill="1" applyBorder="1" applyAlignment="1">
      <alignment vertical="center"/>
    </xf>
    <xf numFmtId="9" fontId="2" fillId="2" borderId="1" xfId="2" applyFont="1" applyFill="1" applyBorder="1" applyAlignment="1">
      <alignment vertical="center"/>
    </xf>
    <xf numFmtId="9" fontId="2" fillId="5" borderId="1" xfId="2" applyFont="1" applyFill="1" applyBorder="1" applyAlignment="1">
      <alignment vertical="center"/>
    </xf>
    <xf numFmtId="9" fontId="4" fillId="0" borderId="1" xfId="2" applyFont="1" applyBorder="1" applyAlignment="1">
      <alignment vertical="center"/>
    </xf>
    <xf numFmtId="9" fontId="2" fillId="7" borderId="1" xfId="2" applyFont="1" applyFill="1" applyBorder="1" applyAlignment="1">
      <alignment vertical="center"/>
    </xf>
    <xf numFmtId="164" fontId="3" fillId="2" borderId="1" xfId="1" applyFont="1" applyFill="1" applyBorder="1" applyAlignment="1">
      <alignment vertical="center" wrapText="1"/>
    </xf>
    <xf numFmtId="164" fontId="4" fillId="0" borderId="1" xfId="1" applyFont="1" applyBorder="1" applyAlignment="1">
      <alignment vertical="center"/>
    </xf>
    <xf numFmtId="164" fontId="2" fillId="2" borderId="1" xfId="1" applyFont="1" applyFill="1" applyBorder="1" applyAlignment="1">
      <alignment horizontal="center" vertical="center" wrapText="1"/>
    </xf>
    <xf numFmtId="164" fontId="2" fillId="0" borderId="0" xfId="1" applyFont="1" applyAlignment="1">
      <alignment horizontal="left" vertical="center"/>
    </xf>
    <xf numFmtId="164" fontId="8" fillId="7" borderId="1" xfId="1" applyFont="1" applyFill="1" applyBorder="1" applyAlignment="1">
      <alignment vertical="center"/>
    </xf>
    <xf numFmtId="0" fontId="2" fillId="7" borderId="1" xfId="1" applyNumberFormat="1" applyFont="1" applyFill="1" applyBorder="1" applyAlignment="1">
      <alignment horizontal="left" vertical="center" wrapText="1"/>
    </xf>
    <xf numFmtId="0" fontId="4" fillId="0" borderId="0" xfId="1" applyNumberFormat="1" applyFont="1" applyAlignment="1">
      <alignment horizontal="left" vertical="center"/>
    </xf>
    <xf numFmtId="0" fontId="4" fillId="0" borderId="0" xfId="1" applyNumberFormat="1" applyFont="1" applyAlignment="1">
      <alignment vertical="center"/>
    </xf>
    <xf numFmtId="0" fontId="2" fillId="0" borderId="1" xfId="1" applyNumberFormat="1" applyFont="1" applyBorder="1" applyAlignment="1">
      <alignment horizontal="left" vertical="center" wrapText="1"/>
    </xf>
    <xf numFmtId="0" fontId="2" fillId="2" borderId="1" xfId="1" applyNumberFormat="1" applyFont="1" applyFill="1" applyBorder="1" applyAlignment="1">
      <alignment horizontal="center" vertical="center" wrapText="1"/>
    </xf>
    <xf numFmtId="0" fontId="2" fillId="0" borderId="1" xfId="1" applyNumberFormat="1" applyFont="1" applyBorder="1" applyAlignment="1">
      <alignment vertical="center" wrapText="1"/>
    </xf>
    <xf numFmtId="0" fontId="4" fillId="0" borderId="1" xfId="1" applyNumberFormat="1" applyFont="1" applyBorder="1" applyAlignment="1">
      <alignment vertical="center" wrapText="1"/>
    </xf>
    <xf numFmtId="0" fontId="3" fillId="2" borderId="1" xfId="1" applyNumberFormat="1" applyFont="1" applyFill="1" applyBorder="1" applyAlignment="1">
      <alignment vertical="center" wrapText="1"/>
    </xf>
    <xf numFmtId="0" fontId="4" fillId="0" borderId="1" xfId="1" applyNumberFormat="1" applyFont="1" applyBorder="1" applyAlignment="1">
      <alignment vertical="center"/>
    </xf>
    <xf numFmtId="0" fontId="3" fillId="5" borderId="1" xfId="1" applyNumberFormat="1" applyFont="1" applyFill="1" applyBorder="1" applyAlignment="1">
      <alignment vertical="center" wrapText="1"/>
    </xf>
    <xf numFmtId="0" fontId="4" fillId="0" borderId="1" xfId="1" applyNumberFormat="1" applyFont="1" applyBorder="1" applyAlignment="1">
      <alignment horizontal="left" vertical="center" wrapText="1"/>
    </xf>
    <xf numFmtId="0" fontId="4" fillId="7" borderId="1" xfId="1" applyNumberFormat="1" applyFont="1" applyFill="1" applyBorder="1" applyAlignment="1">
      <alignment horizontal="left" vertical="center" wrapText="1"/>
    </xf>
    <xf numFmtId="0" fontId="3" fillId="2" borderId="1" xfId="1" applyNumberFormat="1" applyFont="1" applyFill="1" applyBorder="1" applyAlignment="1">
      <alignment horizontal="left" vertical="center" wrapText="1"/>
    </xf>
    <xf numFmtId="0" fontId="5" fillId="7" borderId="1" xfId="1" applyNumberFormat="1" applyFont="1" applyFill="1" applyBorder="1" applyAlignment="1">
      <alignment horizontal="left" vertical="center" wrapText="1"/>
    </xf>
    <xf numFmtId="0" fontId="5" fillId="0" borderId="1" xfId="1" applyNumberFormat="1" applyFont="1" applyBorder="1" applyAlignment="1">
      <alignment horizontal="left" vertical="center" wrapText="1"/>
    </xf>
    <xf numFmtId="0" fontId="2" fillId="7" borderId="1" xfId="1" applyNumberFormat="1" applyFont="1" applyFill="1" applyBorder="1" applyAlignment="1">
      <alignment vertical="center" wrapText="1"/>
    </xf>
    <xf numFmtId="0" fontId="2" fillId="5" borderId="1" xfId="1" applyNumberFormat="1" applyFont="1" applyFill="1" applyBorder="1" applyAlignment="1">
      <alignment vertical="center" wrapText="1"/>
    </xf>
    <xf numFmtId="0" fontId="4" fillId="7" borderId="1" xfId="1" applyNumberFormat="1" applyFont="1" applyFill="1" applyBorder="1" applyAlignment="1">
      <alignment vertical="center" wrapText="1"/>
    </xf>
    <xf numFmtId="0" fontId="2" fillId="8" borderId="1" xfId="1" applyNumberFormat="1" applyFont="1" applyFill="1" applyBorder="1" applyAlignment="1">
      <alignment vertical="center" wrapText="1"/>
    </xf>
    <xf numFmtId="164" fontId="2" fillId="0" borderId="0" xfId="1" applyFont="1" applyAlignment="1">
      <alignment vertical="center"/>
    </xf>
    <xf numFmtId="0" fontId="9" fillId="0" borderId="0" xfId="1" applyNumberFormat="1" applyFont="1" applyAlignment="1">
      <alignment vertical="center"/>
    </xf>
    <xf numFmtId="0" fontId="10" fillId="0" borderId="0" xfId="1" applyNumberFormat="1" applyFont="1" applyAlignment="1">
      <alignment vertical="center"/>
    </xf>
    <xf numFmtId="166" fontId="5" fillId="0" borderId="1" xfId="1" applyNumberFormat="1" applyFont="1" applyBorder="1" applyAlignment="1">
      <alignment vertical="center"/>
    </xf>
    <xf numFmtId="164" fontId="7" fillId="2" borderId="1" xfId="1" applyFont="1" applyFill="1" applyBorder="1" applyAlignment="1">
      <alignment horizontal="center" vertical="center" wrapText="1"/>
    </xf>
    <xf numFmtId="0" fontId="3" fillId="0" borderId="1" xfId="1" applyNumberFormat="1" applyFont="1" applyFill="1" applyBorder="1" applyAlignment="1">
      <alignment vertical="center" wrapText="1"/>
    </xf>
    <xf numFmtId="164" fontId="3" fillId="0" borderId="1" xfId="1" applyFont="1" applyFill="1" applyBorder="1" applyAlignment="1">
      <alignment vertical="center" wrapText="1"/>
    </xf>
    <xf numFmtId="164" fontId="4" fillId="0" borderId="1" xfId="1" applyFont="1" applyFill="1" applyBorder="1" applyAlignment="1">
      <alignment vertical="center"/>
    </xf>
    <xf numFmtId="164" fontId="2" fillId="0" borderId="1" xfId="1" applyFont="1" applyFill="1" applyBorder="1" applyAlignment="1">
      <alignment vertical="center"/>
    </xf>
    <xf numFmtId="9" fontId="2" fillId="0" borderId="1" xfId="2" applyFont="1" applyFill="1" applyBorder="1" applyAlignment="1">
      <alignment vertical="center"/>
    </xf>
    <xf numFmtId="164" fontId="4" fillId="0" borderId="0" xfId="1" applyFont="1" applyFill="1" applyAlignment="1">
      <alignment vertical="center"/>
    </xf>
    <xf numFmtId="9" fontId="4" fillId="0" borderId="1" xfId="2" applyFont="1" applyFill="1" applyBorder="1" applyAlignment="1">
      <alignment vertical="center"/>
    </xf>
    <xf numFmtId="164" fontId="2" fillId="5" borderId="1" xfId="1" applyFont="1" applyFill="1" applyBorder="1" applyAlignment="1">
      <alignment vertical="center" wrapText="1"/>
    </xf>
    <xf numFmtId="0" fontId="0" fillId="0" borderId="0" xfId="0" applyAlignment="1">
      <alignment vertical="center"/>
    </xf>
    <xf numFmtId="0" fontId="0" fillId="0" borderId="0" xfId="0" applyAlignment="1">
      <alignment horizontal="left" vertical="center"/>
    </xf>
    <xf numFmtId="0" fontId="6" fillId="0" borderId="5" xfId="0" applyFont="1" applyBorder="1" applyAlignment="1">
      <alignment horizontal="left" vertical="center" wrapText="1"/>
    </xf>
    <xf numFmtId="0" fontId="7" fillId="2" borderId="9" xfId="0" applyFont="1" applyFill="1" applyBorder="1" applyAlignment="1">
      <alignment horizontal="left" vertical="center" wrapText="1"/>
    </xf>
    <xf numFmtId="164" fontId="7" fillId="2" borderId="10" xfId="3" applyFont="1" applyFill="1" applyBorder="1" applyAlignment="1">
      <alignment horizontal="center" vertical="center" wrapText="1"/>
    </xf>
    <xf numFmtId="167" fontId="7" fillId="2" borderId="11" xfId="0" applyNumberFormat="1" applyFont="1" applyFill="1" applyBorder="1" applyAlignment="1">
      <alignment horizontal="center" vertical="center" wrapText="1"/>
    </xf>
    <xf numFmtId="167" fontId="7" fillId="2" borderId="10" xfId="0" applyNumberFormat="1" applyFont="1" applyFill="1" applyBorder="1" applyAlignment="1">
      <alignment horizontal="center" vertical="center" wrapText="1"/>
    </xf>
    <xf numFmtId="0" fontId="12" fillId="0" borderId="13" xfId="0" applyFont="1" applyBorder="1" applyAlignment="1">
      <alignment horizontal="left" vertical="center" wrapText="1"/>
    </xf>
    <xf numFmtId="164" fontId="12" fillId="3" borderId="14" xfId="3" applyFont="1" applyFill="1" applyBorder="1" applyAlignment="1">
      <alignment vertical="center"/>
    </xf>
    <xf numFmtId="167" fontId="12" fillId="3" borderId="15" xfId="0" applyNumberFormat="1" applyFont="1" applyFill="1" applyBorder="1" applyAlignment="1">
      <alignment vertical="center"/>
    </xf>
    <xf numFmtId="164" fontId="12" fillId="7" borderId="14" xfId="3" applyFont="1" applyFill="1" applyBorder="1" applyAlignment="1">
      <alignment vertical="center"/>
    </xf>
    <xf numFmtId="167" fontId="12" fillId="3" borderId="14" xfId="0" applyNumberFormat="1" applyFont="1" applyFill="1" applyBorder="1" applyAlignment="1">
      <alignment vertical="center"/>
    </xf>
    <xf numFmtId="9" fontId="12" fillId="3" borderId="16" xfId="2" applyFont="1" applyFill="1" applyBorder="1" applyAlignment="1">
      <alignment vertical="center"/>
    </xf>
    <xf numFmtId="0" fontId="12" fillId="0" borderId="17" xfId="0" applyFont="1" applyBorder="1" applyAlignment="1">
      <alignment horizontal="left" vertical="center" wrapText="1"/>
    </xf>
    <xf numFmtId="164" fontId="12" fillId="3" borderId="18" xfId="3" applyFont="1" applyFill="1" applyBorder="1" applyAlignment="1">
      <alignment vertical="center"/>
    </xf>
    <xf numFmtId="167" fontId="12" fillId="3" borderId="19" xfId="0" applyNumberFormat="1" applyFont="1" applyFill="1" applyBorder="1" applyAlignment="1">
      <alignment vertical="center"/>
    </xf>
    <xf numFmtId="164" fontId="12" fillId="7" borderId="18" xfId="3" applyFont="1" applyFill="1" applyBorder="1" applyAlignment="1">
      <alignment vertical="center"/>
    </xf>
    <xf numFmtId="167" fontId="12" fillId="3" borderId="18" xfId="0" applyNumberFormat="1" applyFont="1" applyFill="1" applyBorder="1" applyAlignment="1">
      <alignment vertical="center"/>
    </xf>
    <xf numFmtId="0" fontId="11" fillId="0" borderId="0" xfId="0" applyFont="1" applyAlignment="1">
      <alignment vertical="center"/>
    </xf>
    <xf numFmtId="0" fontId="7" fillId="2" borderId="17" xfId="0" applyFont="1" applyFill="1" applyBorder="1" applyAlignment="1">
      <alignment horizontal="left" vertical="center" wrapText="1"/>
    </xf>
    <xf numFmtId="164" fontId="7" fillId="2" borderId="19" xfId="3" applyFont="1" applyFill="1" applyBorder="1" applyAlignment="1">
      <alignment vertical="center"/>
    </xf>
    <xf numFmtId="164" fontId="7" fillId="2" borderId="17" xfId="3" applyFont="1" applyFill="1" applyBorder="1" applyAlignment="1">
      <alignment vertical="center"/>
    </xf>
    <xf numFmtId="167" fontId="7" fillId="2" borderId="17" xfId="0" applyNumberFormat="1" applyFont="1" applyFill="1" applyBorder="1" applyAlignment="1">
      <alignment vertical="center"/>
    </xf>
    <xf numFmtId="167" fontId="7" fillId="2" borderId="20" xfId="0" applyNumberFormat="1" applyFont="1" applyFill="1" applyBorder="1" applyAlignment="1">
      <alignment vertical="center"/>
    </xf>
    <xf numFmtId="0" fontId="12" fillId="7" borderId="17" xfId="0" applyFont="1" applyFill="1" applyBorder="1" applyAlignment="1">
      <alignment horizontal="left" vertical="center" wrapText="1"/>
    </xf>
    <xf numFmtId="164" fontId="12" fillId="7" borderId="18" xfId="3" applyFont="1" applyFill="1" applyBorder="1" applyAlignment="1">
      <alignment vertical="center" wrapText="1"/>
    </xf>
    <xf numFmtId="164" fontId="12" fillId="7" borderId="21" xfId="3" applyFont="1" applyFill="1" applyBorder="1" applyAlignment="1">
      <alignment vertical="center" wrapText="1"/>
    </xf>
    <xf numFmtId="167" fontId="12" fillId="3" borderId="22" xfId="0" applyNumberFormat="1" applyFont="1" applyFill="1" applyBorder="1" applyAlignment="1">
      <alignment vertical="center"/>
    </xf>
    <xf numFmtId="164" fontId="12" fillId="7" borderId="21" xfId="3" applyFont="1" applyFill="1" applyBorder="1" applyAlignment="1">
      <alignment vertical="center"/>
    </xf>
    <xf numFmtId="167" fontId="12" fillId="3" borderId="21" xfId="0" applyNumberFormat="1" applyFont="1" applyFill="1" applyBorder="1" applyAlignment="1">
      <alignment vertical="center"/>
    </xf>
    <xf numFmtId="9" fontId="12" fillId="3" borderId="23" xfId="2" applyFont="1" applyFill="1" applyBorder="1" applyAlignment="1">
      <alignment vertical="center"/>
    </xf>
    <xf numFmtId="0" fontId="7" fillId="10" borderId="2" xfId="0" applyFont="1" applyFill="1" applyBorder="1" applyAlignment="1">
      <alignment horizontal="left" vertical="center" wrapText="1"/>
    </xf>
    <xf numFmtId="164" fontId="7" fillId="10" borderId="24" xfId="3" applyFont="1" applyFill="1" applyBorder="1" applyAlignment="1">
      <alignment vertical="center"/>
    </xf>
    <xf numFmtId="167" fontId="7" fillId="10" borderId="24" xfId="0" applyNumberFormat="1" applyFont="1" applyFill="1" applyBorder="1" applyAlignment="1">
      <alignment vertical="center"/>
    </xf>
    <xf numFmtId="9" fontId="7" fillId="10" borderId="24" xfId="2" applyFont="1" applyFill="1" applyBorder="1" applyAlignment="1">
      <alignment vertical="center"/>
    </xf>
    <xf numFmtId="0" fontId="7" fillId="10" borderId="6" xfId="0" applyFont="1" applyFill="1" applyBorder="1" applyAlignment="1">
      <alignment horizontal="left" vertical="center" wrapText="1"/>
    </xf>
    <xf numFmtId="164" fontId="7" fillId="10" borderId="25" xfId="3" applyFont="1" applyFill="1" applyBorder="1" applyAlignment="1">
      <alignment vertical="center"/>
    </xf>
    <xf numFmtId="167" fontId="7" fillId="10" borderId="25" xfId="0" applyNumberFormat="1" applyFont="1" applyFill="1" applyBorder="1" applyAlignment="1">
      <alignment vertical="center"/>
    </xf>
    <xf numFmtId="9" fontId="7" fillId="10" borderId="25" xfId="2" applyFont="1" applyFill="1" applyBorder="1" applyAlignment="1">
      <alignment vertical="center"/>
    </xf>
    <xf numFmtId="0" fontId="12" fillId="0" borderId="26" xfId="0" applyFont="1" applyBorder="1" applyAlignment="1">
      <alignment horizontal="left" vertical="center" wrapText="1"/>
    </xf>
    <xf numFmtId="164" fontId="12" fillId="3" borderId="27" xfId="3" applyFont="1" applyFill="1" applyBorder="1" applyAlignment="1">
      <alignment vertical="center"/>
    </xf>
    <xf numFmtId="164" fontId="12" fillId="7" borderId="27" xfId="3" applyFont="1" applyFill="1" applyBorder="1" applyAlignment="1">
      <alignment vertical="center"/>
    </xf>
    <xf numFmtId="167" fontId="12" fillId="3" borderId="27" xfId="0" applyNumberFormat="1" applyFont="1" applyFill="1" applyBorder="1" applyAlignment="1">
      <alignment vertical="center"/>
    </xf>
    <xf numFmtId="167" fontId="12" fillId="3" borderId="23" xfId="0" applyNumberFormat="1" applyFont="1" applyFill="1" applyBorder="1" applyAlignment="1">
      <alignment vertical="center"/>
    </xf>
    <xf numFmtId="167" fontId="12" fillId="7" borderId="27" xfId="0" applyNumberFormat="1" applyFont="1" applyFill="1" applyBorder="1" applyAlignment="1">
      <alignment vertical="center"/>
    </xf>
    <xf numFmtId="0" fontId="7" fillId="10" borderId="5" xfId="0" applyFont="1" applyFill="1" applyBorder="1" applyAlignment="1">
      <alignment horizontal="left" vertical="center" wrapText="1"/>
    </xf>
    <xf numFmtId="164" fontId="7" fillId="10" borderId="28" xfId="3" applyFont="1" applyFill="1" applyBorder="1" applyAlignment="1">
      <alignment vertical="center"/>
    </xf>
    <xf numFmtId="167" fontId="7" fillId="10" borderId="28" xfId="0" applyNumberFormat="1" applyFont="1" applyFill="1" applyBorder="1" applyAlignment="1">
      <alignment vertical="center"/>
    </xf>
    <xf numFmtId="9" fontId="7" fillId="10" borderId="28" xfId="2" applyFont="1" applyFill="1" applyBorder="1" applyAlignment="1">
      <alignment vertical="center"/>
    </xf>
    <xf numFmtId="0" fontId="7" fillId="10" borderId="9" xfId="0" applyFont="1" applyFill="1" applyBorder="1" applyAlignment="1">
      <alignment horizontal="left" vertical="center" wrapText="1"/>
    </xf>
    <xf numFmtId="164" fontId="7" fillId="10" borderId="29" xfId="3" applyFont="1" applyFill="1" applyBorder="1" applyAlignment="1">
      <alignment vertical="center"/>
    </xf>
    <xf numFmtId="167" fontId="7" fillId="10" borderId="29" xfId="0" applyNumberFormat="1" applyFont="1" applyFill="1" applyBorder="1" applyAlignment="1">
      <alignment vertical="center"/>
    </xf>
    <xf numFmtId="9" fontId="7" fillId="10" borderId="29" xfId="2" applyFont="1" applyFill="1" applyBorder="1" applyAlignment="1">
      <alignment vertical="center"/>
    </xf>
    <xf numFmtId="0" fontId="14" fillId="0" borderId="0" xfId="0" applyFont="1"/>
    <xf numFmtId="169" fontId="15" fillId="0" borderId="0" xfId="4" applyNumberFormat="1" applyFont="1"/>
    <xf numFmtId="0" fontId="15" fillId="0" borderId="0" xfId="0" applyFont="1"/>
    <xf numFmtId="169" fontId="14" fillId="10" borderId="1" xfId="4" applyNumberFormat="1" applyFont="1" applyFill="1" applyBorder="1" applyAlignment="1">
      <alignment horizontal="center"/>
    </xf>
    <xf numFmtId="169" fontId="14" fillId="10" borderId="19" xfId="4" applyNumberFormat="1" applyFont="1" applyFill="1" applyBorder="1" applyAlignment="1">
      <alignment horizontal="center"/>
    </xf>
    <xf numFmtId="0" fontId="14" fillId="0" borderId="18" xfId="0" applyFont="1" applyBorder="1"/>
    <xf numFmtId="169" fontId="14" fillId="0" borderId="1" xfId="4" applyNumberFormat="1" applyFont="1" applyBorder="1"/>
    <xf numFmtId="169" fontId="14" fillId="0" borderId="19" xfId="4" applyNumberFormat="1" applyFont="1" applyBorder="1"/>
    <xf numFmtId="0" fontId="15" fillId="0" borderId="18" xfId="0" applyFont="1" applyBorder="1"/>
    <xf numFmtId="169" fontId="15" fillId="0" borderId="1" xfId="4" applyNumberFormat="1" applyFont="1" applyBorder="1"/>
    <xf numFmtId="0" fontId="16" fillId="0" borderId="18" xfId="0" applyFont="1" applyBorder="1" applyAlignment="1">
      <alignment horizontal="right"/>
    </xf>
    <xf numFmtId="169" fontId="15" fillId="0" borderId="0" xfId="4" applyNumberFormat="1" applyFont="1" applyBorder="1"/>
    <xf numFmtId="169" fontId="15" fillId="0" borderId="19" xfId="4" applyNumberFormat="1" applyFont="1" applyBorder="1"/>
    <xf numFmtId="0" fontId="16" fillId="0" borderId="18" xfId="0" applyFont="1" applyBorder="1" applyAlignment="1">
      <alignment horizontal="left" wrapText="1"/>
    </xf>
    <xf numFmtId="169" fontId="15" fillId="0" borderId="1" xfId="4" applyNumberFormat="1" applyFont="1" applyBorder="1" applyAlignment="1">
      <alignment vertical="center"/>
    </xf>
    <xf numFmtId="169" fontId="14" fillId="0" borderId="0" xfId="0" applyNumberFormat="1" applyFont="1"/>
    <xf numFmtId="169" fontId="15" fillId="0" borderId="19" xfId="4" applyNumberFormat="1" applyFont="1" applyBorder="1" applyAlignment="1">
      <alignment vertical="center"/>
    </xf>
    <xf numFmtId="0" fontId="14" fillId="0" borderId="33" xfId="0" applyFont="1" applyBorder="1"/>
    <xf numFmtId="169" fontId="14" fillId="0" borderId="34" xfId="4" applyNumberFormat="1" applyFont="1" applyBorder="1"/>
    <xf numFmtId="169" fontId="14" fillId="0" borderId="29" xfId="4" applyNumberFormat="1" applyFont="1" applyBorder="1"/>
    <xf numFmtId="0" fontId="15" fillId="0" borderId="14" xfId="0" applyFont="1" applyBorder="1" applyAlignment="1">
      <alignment horizontal="right"/>
    </xf>
    <xf numFmtId="169" fontId="15" fillId="0" borderId="15" xfId="4" applyNumberFormat="1" applyFont="1" applyBorder="1"/>
    <xf numFmtId="0" fontId="15" fillId="0" borderId="18" xfId="0" applyFont="1" applyBorder="1" applyAlignment="1">
      <alignment horizontal="right"/>
    </xf>
    <xf numFmtId="0" fontId="15" fillId="0" borderId="21" xfId="0" applyFont="1" applyBorder="1" applyAlignment="1">
      <alignment horizontal="right"/>
    </xf>
    <xf numFmtId="169" fontId="15" fillId="0" borderId="35" xfId="4" applyNumberFormat="1" applyFont="1" applyBorder="1"/>
    <xf numFmtId="169" fontId="15" fillId="0" borderId="22" xfId="4" applyNumberFormat="1" applyFont="1" applyBorder="1"/>
    <xf numFmtId="0" fontId="15" fillId="0" borderId="33" xfId="0" applyFont="1" applyBorder="1" applyAlignment="1">
      <alignment horizontal="right"/>
    </xf>
    <xf numFmtId="169" fontId="15" fillId="0" borderId="34" xfId="4" applyNumberFormat="1" applyFont="1" applyBorder="1"/>
    <xf numFmtId="169" fontId="15" fillId="0" borderId="29" xfId="4" applyNumberFormat="1" applyFont="1" applyBorder="1"/>
    <xf numFmtId="0" fontId="16" fillId="0" borderId="14" xfId="0" applyFont="1" applyBorder="1" applyAlignment="1">
      <alignment horizontal="right"/>
    </xf>
    <xf numFmtId="169" fontId="16" fillId="0" borderId="1" xfId="4" applyNumberFormat="1" applyFont="1" applyBorder="1"/>
    <xf numFmtId="169" fontId="16" fillId="0" borderId="15" xfId="4" applyNumberFormat="1" applyFont="1" applyBorder="1"/>
    <xf numFmtId="169" fontId="16" fillId="0" borderId="19" xfId="4" applyNumberFormat="1" applyFont="1" applyBorder="1"/>
    <xf numFmtId="169" fontId="15" fillId="0" borderId="0" xfId="0" applyNumberFormat="1" applyFont="1"/>
    <xf numFmtId="0" fontId="16" fillId="0" borderId="33" xfId="0" applyFont="1" applyBorder="1" applyAlignment="1">
      <alignment horizontal="right"/>
    </xf>
    <xf numFmtId="169" fontId="16" fillId="0" borderId="34" xfId="4" applyNumberFormat="1" applyFont="1" applyBorder="1"/>
    <xf numFmtId="169" fontId="16" fillId="0" borderId="29" xfId="4" applyNumberFormat="1" applyFont="1" applyBorder="1"/>
    <xf numFmtId="0" fontId="17" fillId="0" borderId="0" xfId="0" applyFont="1" applyAlignment="1">
      <alignment vertical="center"/>
    </xf>
    <xf numFmtId="0" fontId="17" fillId="0" borderId="0" xfId="0" applyFont="1" applyAlignment="1">
      <alignment horizontal="justify" vertical="center"/>
    </xf>
    <xf numFmtId="0" fontId="18" fillId="0" borderId="0" xfId="0" applyFont="1" applyAlignment="1">
      <alignment horizontal="justify" vertical="center"/>
    </xf>
    <xf numFmtId="0" fontId="14" fillId="0" borderId="0" xfId="0" applyFont="1" applyAlignment="1">
      <alignment vertical="center"/>
    </xf>
    <xf numFmtId="0" fontId="20" fillId="7" borderId="1" xfId="0" applyFont="1" applyFill="1" applyBorder="1" applyAlignment="1">
      <alignment horizontal="left" vertical="center" wrapText="1"/>
    </xf>
    <xf numFmtId="0" fontId="20" fillId="0" borderId="1" xfId="0" applyFont="1" applyBorder="1" applyAlignment="1">
      <alignment horizontal="left" vertical="top" wrapText="1"/>
    </xf>
    <xf numFmtId="164" fontId="21" fillId="0" borderId="0" xfId="1" applyFont="1"/>
    <xf numFmtId="164" fontId="4" fillId="0" borderId="0" xfId="2" applyNumberFormat="1" applyFont="1" applyAlignment="1">
      <alignment horizontal="left" vertical="center"/>
    </xf>
    <xf numFmtId="0" fontId="4" fillId="7" borderId="1" xfId="0" applyFont="1" applyFill="1" applyBorder="1" applyAlignment="1">
      <alignment horizontal="left" vertical="center" wrapText="1"/>
    </xf>
    <xf numFmtId="164" fontId="4" fillId="0" borderId="0" xfId="2" applyNumberFormat="1" applyFont="1" applyAlignment="1">
      <alignment vertical="center"/>
    </xf>
    <xf numFmtId="10" fontId="2" fillId="8" borderId="1" xfId="2" applyNumberFormat="1" applyFont="1" applyFill="1" applyBorder="1" applyAlignment="1">
      <alignment vertical="center"/>
    </xf>
    <xf numFmtId="10" fontId="2" fillId="5" borderId="1" xfId="2" applyNumberFormat="1" applyFont="1" applyFill="1" applyBorder="1" applyAlignment="1">
      <alignment vertical="center"/>
    </xf>
    <xf numFmtId="10" fontId="13" fillId="11" borderId="30" xfId="2" applyNumberFormat="1" applyFont="1" applyFill="1" applyBorder="1" applyAlignment="1">
      <alignment vertical="center"/>
    </xf>
    <xf numFmtId="164" fontId="22" fillId="0" borderId="0" xfId="1" applyFont="1"/>
    <xf numFmtId="164" fontId="2" fillId="9" borderId="1" xfId="1" applyFont="1" applyFill="1" applyBorder="1" applyAlignment="1">
      <alignment horizontal="center" vertical="center"/>
    </xf>
    <xf numFmtId="164" fontId="2" fillId="2" borderId="1" xfId="1" applyFont="1" applyFill="1" applyBorder="1" applyAlignment="1">
      <alignment horizontal="center" vertical="center" wrapText="1"/>
    </xf>
    <xf numFmtId="164" fontId="3" fillId="2" borderId="1" xfId="1" applyFont="1" applyFill="1" applyBorder="1" applyAlignment="1">
      <alignment vertical="center" wrapText="1"/>
    </xf>
    <xf numFmtId="164" fontId="4" fillId="0" borderId="1" xfId="1" applyFont="1" applyBorder="1" applyAlignment="1">
      <alignment vertical="center"/>
    </xf>
    <xf numFmtId="164" fontId="6" fillId="2" borderId="1" xfId="1" applyFont="1" applyFill="1" applyBorder="1" applyAlignment="1">
      <alignment horizontal="center" vertical="center" wrapText="1"/>
    </xf>
    <xf numFmtId="9" fontId="7" fillId="2" borderId="1" xfId="2" applyFont="1" applyFill="1" applyBorder="1" applyAlignment="1">
      <alignment horizontal="center" vertical="center" wrapText="1"/>
    </xf>
    <xf numFmtId="164" fontId="2" fillId="9" borderId="2" xfId="1" applyFont="1" applyFill="1" applyBorder="1" applyAlignment="1">
      <alignment horizontal="center" vertical="center"/>
    </xf>
    <xf numFmtId="164" fontId="2" fillId="9" borderId="3" xfId="1" applyFont="1" applyFill="1" applyBorder="1" applyAlignment="1">
      <alignment horizontal="center" vertical="center"/>
    </xf>
    <xf numFmtId="164" fontId="2" fillId="9" borderId="4" xfId="1" applyFont="1" applyFill="1" applyBorder="1" applyAlignment="1">
      <alignment horizontal="center" vertical="center"/>
    </xf>
    <xf numFmtId="164" fontId="3" fillId="7" borderId="1" xfId="1" applyFont="1" applyFill="1" applyBorder="1" applyAlignment="1">
      <alignment horizontal="center" vertical="center"/>
    </xf>
    <xf numFmtId="164" fontId="2" fillId="2" borderId="1" xfId="1" applyFont="1" applyFill="1" applyBorder="1" applyAlignment="1">
      <alignment horizontal="center" vertical="center"/>
    </xf>
    <xf numFmtId="164" fontId="2" fillId="5" borderId="1" xfId="1" applyFont="1" applyFill="1" applyBorder="1" applyAlignment="1">
      <alignment vertical="center" wrapText="1"/>
    </xf>
    <xf numFmtId="167" fontId="6" fillId="2" borderId="6" xfId="0" applyNumberFormat="1" applyFont="1" applyFill="1" applyBorder="1" applyAlignment="1">
      <alignment horizontal="center" vertical="center" wrapText="1"/>
    </xf>
    <xf numFmtId="167" fontId="6" fillId="2" borderId="7" xfId="0" applyNumberFormat="1" applyFont="1" applyFill="1" applyBorder="1" applyAlignment="1">
      <alignment horizontal="center" vertical="center" wrapText="1"/>
    </xf>
    <xf numFmtId="167" fontId="7" fillId="2" borderId="8" xfId="0" applyNumberFormat="1" applyFont="1" applyFill="1" applyBorder="1" applyAlignment="1">
      <alignment horizontal="center" vertical="center" wrapText="1"/>
    </xf>
    <xf numFmtId="167" fontId="7" fillId="2" borderId="12" xfId="0" applyNumberFormat="1" applyFont="1" applyFill="1" applyBorder="1" applyAlignment="1">
      <alignment horizontal="center" vertical="center" wrapText="1"/>
    </xf>
    <xf numFmtId="169" fontId="14" fillId="0" borderId="0" xfId="4" applyNumberFormat="1" applyFont="1" applyAlignment="1">
      <alignment horizontal="left"/>
    </xf>
    <xf numFmtId="0" fontId="14" fillId="10" borderId="31" xfId="0" applyFont="1" applyFill="1" applyBorder="1" applyAlignment="1">
      <alignment horizontal="center" vertical="center"/>
    </xf>
    <xf numFmtId="0" fontId="14" fillId="10" borderId="18" xfId="0" applyFont="1" applyFill="1" applyBorder="1" applyAlignment="1">
      <alignment horizontal="center" vertical="center"/>
    </xf>
    <xf numFmtId="169" fontId="14" fillId="10" borderId="32" xfId="4" applyNumberFormat="1" applyFont="1" applyFill="1" applyBorder="1" applyAlignment="1">
      <alignment horizontal="center"/>
    </xf>
    <xf numFmtId="169" fontId="14" fillId="10" borderId="28" xfId="4" applyNumberFormat="1" applyFont="1" applyFill="1" applyBorder="1" applyAlignment="1">
      <alignment horizontal="center"/>
    </xf>
  </cellXfs>
  <cellStyles count="5">
    <cellStyle name="Komma [0]" xfId="1" builtinId="6"/>
    <cellStyle name="Milliers [0] 2" xfId="3" xr:uid="{A9816599-E1CA-487E-8C4D-D8DE22ED6C1E}"/>
    <cellStyle name="Milliers 2" xfId="4" xr:uid="{65C91D95-AA27-42FA-856A-1427F196AFDC}"/>
    <cellStyle name="Procent" xfId="2" builtinId="5"/>
    <cellStyle name="Standaard" xfId="0" builtinId="0"/>
  </cellStyles>
  <dxfs count="0"/>
  <tableStyles count="0" defaultTableStyle="TableStyleMedium2" defaultPivotStyle="PivotStyleLight16"/>
  <colors>
    <mruColors>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portailpartispolitiques.bj/"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1AC84-ED40-419B-A116-3E2A3C8102B2}">
  <sheetPr>
    <tabColor rgb="FFFFFF00"/>
    <pageSetUpPr fitToPage="1"/>
  </sheetPr>
  <dimension ref="A1:XEH167"/>
  <sheetViews>
    <sheetView tabSelected="1" view="pageBreakPreview" zoomScale="70" zoomScaleNormal="90" zoomScaleSheetLayoutView="70" workbookViewId="0">
      <pane ySplit="5" topLeftCell="A6" activePane="bottomLeft" state="frozen"/>
      <selection pane="bottomLeft" activeCell="V7" sqref="V7"/>
      <selection activeCell="B1" sqref="B1"/>
    </sheetView>
  </sheetViews>
  <sheetFormatPr defaultColWidth="9.140625" defaultRowHeight="12.95" outlineLevelCol="1"/>
  <cols>
    <col min="1" max="1" width="76.140625" style="58" customWidth="1"/>
    <col min="2" max="2" width="13.42578125" style="1" hidden="1" customWidth="1" outlineLevel="1"/>
    <col min="3" max="3" width="9.42578125" style="1" hidden="1" customWidth="1" outlineLevel="1"/>
    <col min="4" max="5" width="12.5703125" style="1" hidden="1" customWidth="1" outlineLevel="1"/>
    <col min="6" max="6" width="18" style="1" hidden="1" customWidth="1" outlineLevel="1"/>
    <col min="7" max="7" width="12.42578125" style="1" hidden="1" customWidth="1" outlineLevel="1"/>
    <col min="8" max="8" width="11.7109375" style="1" customWidth="1" collapsed="1"/>
    <col min="9" max="9" width="15.7109375" style="1" customWidth="1"/>
    <col min="10" max="10" width="11.42578125" style="1" customWidth="1"/>
    <col min="11" max="12" width="12.7109375" style="1" customWidth="1"/>
    <col min="13" max="15" width="12.7109375" style="1" hidden="1" customWidth="1" outlineLevel="1"/>
    <col min="16" max="16" width="12.7109375" style="1" customWidth="1" collapsed="1"/>
    <col min="17" max="19" width="12.7109375" style="1" customWidth="1"/>
    <col min="20" max="20" width="17.5703125" style="45" customWidth="1"/>
    <col min="21" max="21" width="9.140625" style="1"/>
    <col min="22" max="22" width="10.140625" style="1" bestFit="1" customWidth="1"/>
    <col min="23" max="16361" width="9.140625" style="1"/>
    <col min="16362" max="16362" width="11.5703125" style="1" bestFit="1" customWidth="1"/>
    <col min="16363" max="16384" width="11.5703125" style="1" customWidth="1"/>
  </cols>
  <sheetData>
    <row r="1" spans="1:22" s="4" customFormat="1" ht="22.5" customHeight="1">
      <c r="A1" s="77" t="s">
        <v>0</v>
      </c>
      <c r="B1" s="76"/>
      <c r="C1" s="76"/>
      <c r="D1" s="76"/>
      <c r="E1" s="54"/>
      <c r="F1" s="7">
        <v>7.0001980841902904</v>
      </c>
      <c r="J1" s="54"/>
      <c r="K1" s="2"/>
      <c r="M1" s="5"/>
      <c r="N1" s="5"/>
      <c r="R1" s="184"/>
      <c r="T1" s="185"/>
    </row>
    <row r="2" spans="1:22">
      <c r="A2" s="57" t="s">
        <v>1</v>
      </c>
      <c r="C2" s="1" t="s">
        <v>2</v>
      </c>
      <c r="F2" s="7"/>
      <c r="G2" s="7"/>
      <c r="H2" s="1" t="s">
        <v>2</v>
      </c>
      <c r="K2" s="7"/>
      <c r="L2" s="7"/>
      <c r="M2" s="7"/>
      <c r="N2" s="7"/>
      <c r="T2" s="187"/>
    </row>
    <row r="3" spans="1:22" ht="15" customHeight="1">
      <c r="A3" s="78">
        <v>655.95699999999999</v>
      </c>
      <c r="B3" s="192" t="s">
        <v>3</v>
      </c>
      <c r="C3" s="192"/>
      <c r="D3" s="192"/>
      <c r="E3" s="192"/>
      <c r="F3" s="192"/>
      <c r="G3" s="192"/>
      <c r="H3" s="192" t="s">
        <v>4</v>
      </c>
      <c r="I3" s="192"/>
      <c r="J3" s="192"/>
      <c r="K3" s="192"/>
      <c r="L3" s="192"/>
      <c r="M3" s="52"/>
      <c r="N3" s="52"/>
      <c r="O3" s="52"/>
      <c r="P3" s="52"/>
      <c r="Q3" s="52"/>
      <c r="R3" s="52"/>
      <c r="S3" s="52"/>
      <c r="T3" s="49"/>
    </row>
    <row r="4" spans="1:22" ht="38.1" customHeight="1">
      <c r="A4" s="59" t="s">
        <v>5</v>
      </c>
      <c r="B4" s="193" t="s">
        <v>6</v>
      </c>
      <c r="C4" s="193"/>
      <c r="D4" s="193"/>
      <c r="E4" s="193"/>
      <c r="F4" s="193"/>
      <c r="G4" s="193"/>
      <c r="H4" s="193" t="s">
        <v>7</v>
      </c>
      <c r="I4" s="193"/>
      <c r="J4" s="193"/>
      <c r="K4" s="193"/>
      <c r="L4" s="193"/>
      <c r="M4" s="193" t="s">
        <v>8</v>
      </c>
      <c r="N4" s="193"/>
      <c r="O4" s="193"/>
      <c r="P4" s="196" t="s">
        <v>9</v>
      </c>
      <c r="Q4" s="196"/>
      <c r="R4" s="196" t="s">
        <v>10</v>
      </c>
      <c r="S4" s="196"/>
      <c r="T4" s="197" t="s">
        <v>11</v>
      </c>
    </row>
    <row r="5" spans="1:22" ht="39">
      <c r="A5" s="60" t="s">
        <v>12</v>
      </c>
      <c r="B5" s="8" t="s">
        <v>13</v>
      </c>
      <c r="C5" s="9" t="s">
        <v>14</v>
      </c>
      <c r="D5" s="53" t="s">
        <v>15</v>
      </c>
      <c r="E5" s="53" t="s">
        <v>16</v>
      </c>
      <c r="F5" s="53" t="s">
        <v>17</v>
      </c>
      <c r="G5" s="53" t="s">
        <v>18</v>
      </c>
      <c r="H5" s="9" t="s">
        <v>14</v>
      </c>
      <c r="I5" s="53" t="s">
        <v>15</v>
      </c>
      <c r="J5" s="53" t="s">
        <v>16</v>
      </c>
      <c r="K5" s="53" t="s">
        <v>19</v>
      </c>
      <c r="L5" s="53" t="s">
        <v>20</v>
      </c>
      <c r="M5" s="53" t="s">
        <v>21</v>
      </c>
      <c r="N5" s="53" t="s">
        <v>22</v>
      </c>
      <c r="O5" s="10" t="s">
        <v>23</v>
      </c>
      <c r="P5" s="79" t="s">
        <v>24</v>
      </c>
      <c r="Q5" s="79" t="s">
        <v>25</v>
      </c>
      <c r="R5" s="79" t="s">
        <v>24</v>
      </c>
      <c r="S5" s="79" t="s">
        <v>25</v>
      </c>
      <c r="T5" s="197"/>
    </row>
    <row r="6" spans="1:22" ht="15" customHeight="1">
      <c r="A6" s="61" t="s">
        <v>26</v>
      </c>
      <c r="B6" s="12"/>
      <c r="C6" s="3"/>
      <c r="D6" s="3"/>
      <c r="E6" s="3"/>
      <c r="F6" s="13"/>
      <c r="G6" s="13"/>
      <c r="H6" s="3"/>
      <c r="I6" s="3"/>
      <c r="J6" s="3"/>
      <c r="K6" s="13"/>
      <c r="L6" s="13"/>
      <c r="M6" s="14" t="s">
        <v>25</v>
      </c>
      <c r="N6" s="14" t="s">
        <v>25</v>
      </c>
      <c r="O6" s="14" t="s">
        <v>25</v>
      </c>
      <c r="P6" s="13"/>
      <c r="Q6" s="13"/>
      <c r="R6" s="13"/>
      <c r="S6" s="13"/>
      <c r="T6" s="46"/>
    </row>
    <row r="7" spans="1:22" ht="15" customHeight="1">
      <c r="A7" s="59" t="s">
        <v>27</v>
      </c>
      <c r="B7" s="12"/>
      <c r="C7" s="3"/>
      <c r="D7" s="3"/>
      <c r="E7" s="3"/>
      <c r="F7" s="13"/>
      <c r="G7" s="13"/>
      <c r="H7" s="3"/>
      <c r="I7" s="3"/>
      <c r="J7" s="3"/>
      <c r="K7" s="13"/>
      <c r="L7" s="13"/>
      <c r="M7" s="13"/>
      <c r="N7" s="13"/>
      <c r="O7" s="52"/>
      <c r="P7" s="13"/>
      <c r="Q7" s="13"/>
      <c r="R7" s="13"/>
      <c r="S7" s="13"/>
      <c r="T7" s="46"/>
    </row>
    <row r="8" spans="1:22" ht="27.6" customHeight="1">
      <c r="A8" s="62" t="s">
        <v>28</v>
      </c>
      <c r="B8" s="15"/>
      <c r="C8" s="52"/>
      <c r="D8" s="52"/>
      <c r="E8" s="52"/>
      <c r="F8" s="16" t="s">
        <v>2</v>
      </c>
      <c r="G8" s="16"/>
      <c r="H8" s="52"/>
      <c r="I8" s="52"/>
      <c r="J8" s="52"/>
      <c r="K8" s="16" t="s">
        <v>2</v>
      </c>
      <c r="L8" s="16"/>
      <c r="M8" s="16"/>
      <c r="N8" s="16"/>
      <c r="O8" s="52"/>
      <c r="P8" s="16"/>
      <c r="Q8" s="16"/>
      <c r="R8" s="16"/>
      <c r="S8" s="16"/>
      <c r="T8" s="43"/>
    </row>
    <row r="9" spans="1:22" ht="15" customHeight="1">
      <c r="A9" s="62" t="s">
        <v>29</v>
      </c>
      <c r="B9" s="15" t="s">
        <v>30</v>
      </c>
      <c r="C9" s="52">
        <v>62</v>
      </c>
      <c r="D9" s="52">
        <f>1705548/2</f>
        <v>852774</v>
      </c>
      <c r="E9" s="52">
        <f>D9/$A$3</f>
        <v>1300.0455822561539</v>
      </c>
      <c r="F9" s="16">
        <f>+C9*D9</f>
        <v>52871988</v>
      </c>
      <c r="G9" s="16">
        <f>+F9/655.957</f>
        <v>80602.826099881553</v>
      </c>
      <c r="H9" s="52">
        <v>12</v>
      </c>
      <c r="I9" s="52">
        <f>1705548/2</f>
        <v>852774</v>
      </c>
      <c r="J9" s="52">
        <f>I9/$A$3</f>
        <v>1300.0455822561539</v>
      </c>
      <c r="K9" s="16">
        <f>+H9*I9</f>
        <v>10233288</v>
      </c>
      <c r="L9" s="16">
        <f>+K9/655.957</f>
        <v>15600.546987073849</v>
      </c>
      <c r="M9" s="16"/>
      <c r="N9" s="16">
        <f>+K9</f>
        <v>10233288</v>
      </c>
      <c r="O9" s="16"/>
      <c r="P9" s="16">
        <v>9380184</v>
      </c>
      <c r="Q9" s="16">
        <f>+P9/655.957</f>
        <v>14299.99832306081</v>
      </c>
      <c r="R9" s="16">
        <f>+K9-P9</f>
        <v>853104</v>
      </c>
      <c r="S9" s="42">
        <f>+R9/655.957</f>
        <v>1300.5486640130375</v>
      </c>
      <c r="T9" s="43">
        <f>+P9/K9</f>
        <v>0.9166344189668072</v>
      </c>
    </row>
    <row r="10" spans="1:22" ht="15" customHeight="1">
      <c r="A10" s="62" t="s">
        <v>31</v>
      </c>
      <c r="B10" s="15" t="s">
        <v>30</v>
      </c>
      <c r="C10" s="52">
        <v>62</v>
      </c>
      <c r="D10" s="52">
        <v>1147925</v>
      </c>
      <c r="E10" s="52">
        <f>D10/$A$3</f>
        <v>1750.0003811225431</v>
      </c>
      <c r="F10" s="16">
        <f t="shared" ref="F10:F13" si="0">+C10*D10</f>
        <v>71171350</v>
      </c>
      <c r="G10" s="16">
        <f t="shared" ref="G10:G12" si="1">+F10/655.957</f>
        <v>108500.02362959768</v>
      </c>
      <c r="H10" s="52">
        <v>12</v>
      </c>
      <c r="I10" s="52">
        <v>1147925</v>
      </c>
      <c r="J10" s="52">
        <f>I10/$A$3</f>
        <v>1750.0003811225431</v>
      </c>
      <c r="K10" s="16">
        <f t="shared" ref="K10:K13" si="2">+H10*I10</f>
        <v>13775100</v>
      </c>
      <c r="L10" s="16">
        <f t="shared" ref="L10" si="3">+K10/655.957</f>
        <v>21000.004573470516</v>
      </c>
      <c r="M10" s="16"/>
      <c r="N10" s="16">
        <f>+K10</f>
        <v>13775100</v>
      </c>
      <c r="O10" s="16"/>
      <c r="P10" s="16">
        <v>13879602</v>
      </c>
      <c r="Q10" s="16">
        <f t="shared" ref="Q10:Q13" si="4">+P10/655.957</f>
        <v>21159.316845463956</v>
      </c>
      <c r="R10" s="16">
        <f t="shared" ref="R10:R13" si="5">+K10-P10</f>
        <v>-104502</v>
      </c>
      <c r="S10" s="16">
        <f t="shared" ref="S10:S13" si="6">+R10/655.957</f>
        <v>-159.3122719934386</v>
      </c>
      <c r="T10" s="43">
        <f>+P10/K10</f>
        <v>1.0075862970141778</v>
      </c>
      <c r="V10" s="1" t="s">
        <v>2</v>
      </c>
    </row>
    <row r="11" spans="1:22" ht="15" customHeight="1">
      <c r="A11" s="62" t="s">
        <v>32</v>
      </c>
      <c r="B11" s="15" t="s">
        <v>30</v>
      </c>
      <c r="C11" s="52">
        <v>62</v>
      </c>
      <c r="D11" s="52">
        <f>1344712/2</f>
        <v>672356</v>
      </c>
      <c r="E11" s="52">
        <f>D11/$A$3</f>
        <v>1025.0001143367629</v>
      </c>
      <c r="F11" s="16">
        <f t="shared" si="0"/>
        <v>41686072</v>
      </c>
      <c r="G11" s="16">
        <f>+F11/655.957</f>
        <v>63550.007088879305</v>
      </c>
      <c r="H11" s="52">
        <v>12</v>
      </c>
      <c r="I11" s="52">
        <f>1344712/2</f>
        <v>672356</v>
      </c>
      <c r="J11" s="52">
        <f>I11/$A$3</f>
        <v>1025.0001143367629</v>
      </c>
      <c r="K11" s="16">
        <f t="shared" si="2"/>
        <v>8068272</v>
      </c>
      <c r="L11" s="16">
        <f>+K11/655.957</f>
        <v>12300.001372041155</v>
      </c>
      <c r="M11" s="16"/>
      <c r="N11" s="16">
        <f>+K11</f>
        <v>8068272</v>
      </c>
      <c r="O11" s="16"/>
      <c r="P11" s="16">
        <v>8067996</v>
      </c>
      <c r="Q11" s="16">
        <f t="shared" si="4"/>
        <v>12299.58061275358</v>
      </c>
      <c r="R11" s="16">
        <f t="shared" si="5"/>
        <v>276</v>
      </c>
      <c r="S11" s="16">
        <f t="shared" si="6"/>
        <v>0.42075928757525266</v>
      </c>
      <c r="T11" s="43">
        <f>+P11/K11</f>
        <v>0.99996579193165525</v>
      </c>
    </row>
    <row r="12" spans="1:22" ht="15" customHeight="1">
      <c r="A12" s="62" t="s">
        <v>33</v>
      </c>
      <c r="B12" s="15" t="s">
        <v>30</v>
      </c>
      <c r="C12" s="52">
        <v>62</v>
      </c>
      <c r="D12" s="52">
        <v>229585</v>
      </c>
      <c r="E12" s="52">
        <f>D12/$A$3</f>
        <v>350.00007622450863</v>
      </c>
      <c r="F12" s="16">
        <f t="shared" si="0"/>
        <v>14234270</v>
      </c>
      <c r="G12" s="16">
        <f t="shared" si="1"/>
        <v>21700.004725919534</v>
      </c>
      <c r="H12" s="52">
        <v>12</v>
      </c>
      <c r="I12" s="52">
        <v>229585</v>
      </c>
      <c r="J12" s="52">
        <f>I12/$A$3</f>
        <v>350.00007622450863</v>
      </c>
      <c r="K12" s="16">
        <f t="shared" si="2"/>
        <v>2755020</v>
      </c>
      <c r="L12" s="16">
        <f t="shared" ref="L12" si="7">+K12/655.957</f>
        <v>4200.0009146941038</v>
      </c>
      <c r="M12" s="16"/>
      <c r="N12" s="16">
        <f>+K12</f>
        <v>2755020</v>
      </c>
      <c r="O12" s="16"/>
      <c r="P12" s="16">
        <f>4580000+430000</f>
        <v>5010000</v>
      </c>
      <c r="Q12" s="16">
        <f t="shared" si="4"/>
        <v>7637.6957635942599</v>
      </c>
      <c r="R12" s="16">
        <f t="shared" si="5"/>
        <v>-2254980</v>
      </c>
      <c r="S12" s="16">
        <f t="shared" si="6"/>
        <v>-3437.6948489001566</v>
      </c>
      <c r="T12" s="43">
        <f>+P12/K12</f>
        <v>1.8184985952915043</v>
      </c>
    </row>
    <row r="13" spans="1:22" ht="15" customHeight="1">
      <c r="A13" s="62" t="s">
        <v>34</v>
      </c>
      <c r="B13" s="15" t="s">
        <v>35</v>
      </c>
      <c r="C13" s="52">
        <v>62</v>
      </c>
      <c r="D13" s="52">
        <v>551004</v>
      </c>
      <c r="E13" s="52">
        <f>60*8</f>
        <v>480</v>
      </c>
      <c r="F13" s="16">
        <f t="shared" si="0"/>
        <v>34162248</v>
      </c>
      <c r="G13" s="16">
        <f>+F13/655.957</f>
        <v>52080.011342206883</v>
      </c>
      <c r="H13" s="52">
        <v>12</v>
      </c>
      <c r="I13" s="52">
        <v>551004</v>
      </c>
      <c r="J13" s="52">
        <f>60*8</f>
        <v>480</v>
      </c>
      <c r="K13" s="16">
        <f t="shared" si="2"/>
        <v>6612048</v>
      </c>
      <c r="L13" s="16">
        <f>+K13/655.957</f>
        <v>10080.002195265848</v>
      </c>
      <c r="M13" s="16">
        <f>+K13</f>
        <v>6612048</v>
      </c>
      <c r="N13" s="16"/>
      <c r="O13" s="16"/>
      <c r="P13" s="16">
        <v>6489251.4095999999</v>
      </c>
      <c r="Q13" s="16">
        <f t="shared" si="4"/>
        <v>9892.7999999999993</v>
      </c>
      <c r="R13" s="16">
        <f t="shared" si="5"/>
        <v>122796.5904000001</v>
      </c>
      <c r="S13" s="16">
        <f t="shared" si="6"/>
        <v>187.20219526584839</v>
      </c>
      <c r="T13" s="43">
        <f>+P13/K13</f>
        <v>0.98142835768887338</v>
      </c>
    </row>
    <row r="14" spans="1:22" ht="15" customHeight="1">
      <c r="A14" s="63" t="s">
        <v>36</v>
      </c>
      <c r="B14" s="51"/>
      <c r="C14" s="51"/>
      <c r="D14" s="51"/>
      <c r="E14" s="51"/>
      <c r="F14" s="18">
        <f t="shared" ref="F14" si="8">SUM(F9:F13)</f>
        <v>214125928</v>
      </c>
      <c r="G14" s="18">
        <f>SUM(G9:G13)</f>
        <v>326432.87288648495</v>
      </c>
      <c r="H14" s="18"/>
      <c r="I14" s="18"/>
      <c r="J14" s="18"/>
      <c r="K14" s="18">
        <f>SUM(K9:K13)</f>
        <v>41443728</v>
      </c>
      <c r="L14" s="18">
        <f t="shared" ref="L14:Q14" si="9">SUM(L9:L13)</f>
        <v>63180.556042545468</v>
      </c>
      <c r="M14" s="18">
        <f t="shared" si="9"/>
        <v>6612048</v>
      </c>
      <c r="N14" s="18">
        <f t="shared" si="9"/>
        <v>34831680</v>
      </c>
      <c r="O14" s="18">
        <f t="shared" si="9"/>
        <v>0</v>
      </c>
      <c r="P14" s="18">
        <f>SUM(P9:P13)</f>
        <v>42827033.409599997</v>
      </c>
      <c r="Q14" s="18">
        <f t="shared" si="9"/>
        <v>65289.391544872604</v>
      </c>
      <c r="R14" s="18">
        <f>SUM(R9:R13)</f>
        <v>-1383305.4095999999</v>
      </c>
      <c r="S14" s="18">
        <f>SUM(S9:S13)</f>
        <v>-2108.8355023271338</v>
      </c>
      <c r="T14" s="47"/>
    </row>
    <row r="15" spans="1:22" ht="15" customHeight="1">
      <c r="A15" s="59" t="s">
        <v>23</v>
      </c>
      <c r="B15" s="15"/>
      <c r="C15" s="52"/>
      <c r="D15" s="52"/>
      <c r="E15" s="52"/>
      <c r="F15" s="16"/>
      <c r="G15" s="16"/>
      <c r="H15" s="52"/>
      <c r="I15" s="52"/>
      <c r="J15" s="52"/>
      <c r="K15" s="16"/>
      <c r="L15" s="16"/>
      <c r="M15" s="16"/>
      <c r="N15" s="16"/>
      <c r="O15" s="16"/>
      <c r="P15" s="16"/>
      <c r="Q15" s="16"/>
      <c r="R15" s="16"/>
      <c r="S15" s="16"/>
      <c r="T15" s="43"/>
    </row>
    <row r="16" spans="1:22" ht="30" customHeight="1">
      <c r="A16" s="62" t="s">
        <v>37</v>
      </c>
      <c r="B16" s="15"/>
      <c r="C16" s="52"/>
      <c r="D16" s="52" t="s">
        <v>2</v>
      </c>
      <c r="E16" s="52"/>
      <c r="F16" s="16"/>
      <c r="G16" s="16"/>
      <c r="H16" s="52"/>
      <c r="I16" s="52" t="s">
        <v>2</v>
      </c>
      <c r="J16" s="52"/>
      <c r="K16" s="16"/>
      <c r="L16" s="16"/>
      <c r="M16" s="16"/>
      <c r="N16" s="16"/>
      <c r="O16" s="16"/>
      <c r="P16" s="16"/>
      <c r="Q16" s="16"/>
      <c r="R16" s="16"/>
      <c r="S16" s="16"/>
      <c r="T16" s="43"/>
    </row>
    <row r="17" spans="1:20" ht="15" customHeight="1">
      <c r="A17" s="62" t="s">
        <v>38</v>
      </c>
      <c r="B17" s="15" t="s">
        <v>30</v>
      </c>
      <c r="C17" s="52">
        <v>62</v>
      </c>
      <c r="D17" s="52">
        <f>1705548*15%</f>
        <v>255832.19999999998</v>
      </c>
      <c r="E17" s="52">
        <f>D17/$A$3</f>
        <v>390.01367467684616</v>
      </c>
      <c r="F17" s="16">
        <f t="shared" ref="F17:F20" si="10">+C17*D17</f>
        <v>15861596.399999999</v>
      </c>
      <c r="G17" s="16">
        <f>+F17/655.957</f>
        <v>24180.847829964463</v>
      </c>
      <c r="H17" s="52">
        <v>12</v>
      </c>
      <c r="I17" s="52">
        <f>1705548*15%</f>
        <v>255832.19999999998</v>
      </c>
      <c r="J17" s="52">
        <f>I17/$A$3</f>
        <v>390.01367467684616</v>
      </c>
      <c r="K17" s="16">
        <f t="shared" ref="K17:K19" si="11">+H17*I17</f>
        <v>3069986.4</v>
      </c>
      <c r="L17" s="16">
        <f>+K17/655.957</f>
        <v>4680.1640961221547</v>
      </c>
      <c r="M17" s="16"/>
      <c r="N17" s="16"/>
      <c r="O17" s="16">
        <f>+K17</f>
        <v>3069986.4</v>
      </c>
      <c r="P17" s="27">
        <v>1822341.04</v>
      </c>
      <c r="Q17" s="16">
        <f t="shared" ref="Q17:Q20" si="12">+P17/655.957</f>
        <v>2778.1410061940037</v>
      </c>
      <c r="R17" s="16">
        <f t="shared" ref="R17:R20" si="13">+K17-P17</f>
        <v>1247645.3599999999</v>
      </c>
      <c r="S17" s="16">
        <f t="shared" ref="S17:S20" si="14">+R17/655.957</f>
        <v>1902.0230899281505</v>
      </c>
      <c r="T17" s="43">
        <f>+P17/K17</f>
        <v>0.59359905959192527</v>
      </c>
    </row>
    <row r="18" spans="1:20" ht="15" customHeight="1">
      <c r="A18" s="62" t="s">
        <v>39</v>
      </c>
      <c r="B18" s="15" t="s">
        <v>30</v>
      </c>
      <c r="C18" s="52">
        <v>62</v>
      </c>
      <c r="D18" s="52">
        <v>1147925</v>
      </c>
      <c r="E18" s="52">
        <f>D18/$A$3</f>
        <v>1750.0003811225431</v>
      </c>
      <c r="F18" s="16">
        <f t="shared" si="10"/>
        <v>71171350</v>
      </c>
      <c r="G18" s="16">
        <f t="shared" ref="G18:G19" si="15">+F18/655.957</f>
        <v>108500.02362959768</v>
      </c>
      <c r="H18" s="52">
        <v>12</v>
      </c>
      <c r="I18" s="52">
        <v>1147925</v>
      </c>
      <c r="J18" s="52">
        <f>I18/$A$3</f>
        <v>1750.0003811225431</v>
      </c>
      <c r="K18" s="16">
        <f t="shared" si="11"/>
        <v>13775100</v>
      </c>
      <c r="L18" s="16">
        <f t="shared" ref="L18:L19" si="16">+K18/655.957</f>
        <v>21000.004573470516</v>
      </c>
      <c r="M18" s="16"/>
      <c r="N18" s="16"/>
      <c r="O18" s="16">
        <f>+K18</f>
        <v>13775100</v>
      </c>
      <c r="P18" s="27">
        <v>14977657.060000001</v>
      </c>
      <c r="Q18" s="16">
        <f t="shared" si="12"/>
        <v>22833.290993159615</v>
      </c>
      <c r="R18" s="16">
        <f t="shared" si="13"/>
        <v>-1202557.0600000005</v>
      </c>
      <c r="S18" s="16">
        <f t="shared" si="14"/>
        <v>-1833.2864196890962</v>
      </c>
      <c r="T18" s="43">
        <f>+P18/K18</f>
        <v>1.087299334306103</v>
      </c>
    </row>
    <row r="19" spans="1:20" ht="15" customHeight="1">
      <c r="A19" s="62" t="s">
        <v>40</v>
      </c>
      <c r="B19" s="15" t="s">
        <v>30</v>
      </c>
      <c r="C19" s="52">
        <v>62</v>
      </c>
      <c r="D19" s="52">
        <f>1344712*25%</f>
        <v>336178</v>
      </c>
      <c r="E19" s="52">
        <f>D19/$A$3</f>
        <v>512.50005716838143</v>
      </c>
      <c r="F19" s="16">
        <f t="shared" si="10"/>
        <v>20843036</v>
      </c>
      <c r="G19" s="16">
        <f t="shared" si="15"/>
        <v>31775.003544439653</v>
      </c>
      <c r="H19" s="52">
        <v>12</v>
      </c>
      <c r="I19" s="52">
        <f>1344712*25%</f>
        <v>336178</v>
      </c>
      <c r="J19" s="52">
        <f>I19/$A$3</f>
        <v>512.50005716838143</v>
      </c>
      <c r="K19" s="16">
        <f t="shared" si="11"/>
        <v>4034136</v>
      </c>
      <c r="L19" s="16">
        <f t="shared" si="16"/>
        <v>6150.0006860205776</v>
      </c>
      <c r="M19" s="16"/>
      <c r="N19" s="16"/>
      <c r="O19" s="16">
        <f>+K19</f>
        <v>4034136</v>
      </c>
      <c r="P19" s="27">
        <v>4126559.24</v>
      </c>
      <c r="Q19" s="16">
        <f t="shared" si="12"/>
        <v>6290.8990070995515</v>
      </c>
      <c r="R19" s="16">
        <f t="shared" si="13"/>
        <v>-92423.240000000224</v>
      </c>
      <c r="S19" s="16">
        <f t="shared" si="14"/>
        <v>-140.89832107897351</v>
      </c>
      <c r="T19" s="43">
        <f>+P19/K19</f>
        <v>1.0229102935548033</v>
      </c>
    </row>
    <row r="20" spans="1:20" ht="15" customHeight="1">
      <c r="A20" s="62" t="s">
        <v>41</v>
      </c>
      <c r="B20" s="15" t="s">
        <v>30</v>
      </c>
      <c r="C20" s="52"/>
      <c r="D20" s="52">
        <v>0</v>
      </c>
      <c r="E20" s="52"/>
      <c r="F20" s="16">
        <f t="shared" si="10"/>
        <v>0</v>
      </c>
      <c r="G20" s="16">
        <f t="shared" ref="G20" si="17">+F20*655.957</f>
        <v>0</v>
      </c>
      <c r="H20" s="52"/>
      <c r="I20" s="52"/>
      <c r="J20" s="52"/>
      <c r="K20" s="16"/>
      <c r="L20" s="16"/>
      <c r="M20" s="16"/>
      <c r="N20" s="16"/>
      <c r="O20" s="16"/>
      <c r="P20" s="27"/>
      <c r="Q20" s="16">
        <f t="shared" si="12"/>
        <v>0</v>
      </c>
      <c r="R20" s="16">
        <f t="shared" si="13"/>
        <v>0</v>
      </c>
      <c r="S20" s="16">
        <f t="shared" si="14"/>
        <v>0</v>
      </c>
      <c r="T20" s="43"/>
    </row>
    <row r="21" spans="1:20" ht="15" customHeight="1">
      <c r="A21" s="63" t="s">
        <v>42</v>
      </c>
      <c r="B21" s="51"/>
      <c r="C21" s="17"/>
      <c r="D21" s="17"/>
      <c r="E21" s="17"/>
      <c r="F21" s="18">
        <f>SUM(F17:F20)</f>
        <v>107875982.40000001</v>
      </c>
      <c r="G21" s="18">
        <f>SUM(G17:G20)</f>
        <v>164455.87500400181</v>
      </c>
      <c r="H21" s="18"/>
      <c r="I21" s="18"/>
      <c r="J21" s="18"/>
      <c r="K21" s="18">
        <f>SUM(K17:K20)</f>
        <v>20879222.399999999</v>
      </c>
      <c r="L21" s="18">
        <f t="shared" ref="L21:S21" si="18">SUM(L17:L20)</f>
        <v>31830.169355613245</v>
      </c>
      <c r="M21" s="18">
        <f t="shared" si="18"/>
        <v>0</v>
      </c>
      <c r="N21" s="18">
        <f t="shared" si="18"/>
        <v>0</v>
      </c>
      <c r="O21" s="18">
        <f t="shared" si="18"/>
        <v>20879222.399999999</v>
      </c>
      <c r="P21" s="18">
        <f>SUM(P17:P20)</f>
        <v>20926557.340000004</v>
      </c>
      <c r="Q21" s="18">
        <f t="shared" si="18"/>
        <v>31902.331006453169</v>
      </c>
      <c r="R21" s="18">
        <f t="shared" si="18"/>
        <v>-47334.940000000875</v>
      </c>
      <c r="S21" s="18">
        <f t="shared" si="18"/>
        <v>-72.16165083991919</v>
      </c>
      <c r="T21" s="47"/>
    </row>
    <row r="22" spans="1:20" ht="15" customHeight="1" collapsed="1">
      <c r="A22" s="63" t="s">
        <v>43</v>
      </c>
      <c r="B22" s="51"/>
      <c r="C22" s="17"/>
      <c r="D22" s="17"/>
      <c r="E22" s="17"/>
      <c r="F22" s="18">
        <f>F14+F21</f>
        <v>322001910.39999998</v>
      </c>
      <c r="G22" s="18">
        <f>G14+G21</f>
        <v>490888.74789048673</v>
      </c>
      <c r="H22" s="18"/>
      <c r="I22" s="18"/>
      <c r="J22" s="18"/>
      <c r="K22" s="18">
        <f>K14+K21</f>
        <v>62322950.399999999</v>
      </c>
      <c r="L22" s="18">
        <f t="shared" ref="L22:S22" si="19">L14+L21</f>
        <v>95010.725398158713</v>
      </c>
      <c r="M22" s="18">
        <f t="shared" si="19"/>
        <v>6612048</v>
      </c>
      <c r="N22" s="18">
        <f t="shared" si="19"/>
        <v>34831680</v>
      </c>
      <c r="O22" s="18">
        <f t="shared" si="19"/>
        <v>20879222.399999999</v>
      </c>
      <c r="P22" s="18">
        <f>P14+P21</f>
        <v>63753590.749600001</v>
      </c>
      <c r="Q22" s="18">
        <f t="shared" si="19"/>
        <v>97191.722551325773</v>
      </c>
      <c r="R22" s="18">
        <f t="shared" si="19"/>
        <v>-1430640.3496000008</v>
      </c>
      <c r="S22" s="18">
        <f t="shared" si="19"/>
        <v>-2180.9971531670531</v>
      </c>
      <c r="T22" s="47"/>
    </row>
    <row r="23" spans="1:20" ht="15" customHeight="1">
      <c r="A23" s="61" t="s">
        <v>44</v>
      </c>
      <c r="B23" s="12"/>
      <c r="C23" s="3"/>
      <c r="D23" s="3"/>
      <c r="E23" s="3"/>
      <c r="F23" s="13"/>
      <c r="G23" s="13"/>
      <c r="H23" s="3"/>
      <c r="I23" s="3"/>
      <c r="J23" s="3"/>
      <c r="K23" s="13"/>
      <c r="L23" s="13"/>
      <c r="M23" s="16"/>
      <c r="N23" s="16"/>
      <c r="O23" s="16"/>
      <c r="P23" s="13"/>
      <c r="Q23" s="13"/>
      <c r="R23" s="13"/>
      <c r="S23" s="13"/>
      <c r="T23" s="46"/>
    </row>
    <row r="24" spans="1:20" ht="15" customHeight="1">
      <c r="A24" s="62" t="s">
        <v>45</v>
      </c>
      <c r="B24" s="15" t="s">
        <v>30</v>
      </c>
      <c r="C24" s="52">
        <v>62</v>
      </c>
      <c r="D24" s="52">
        <f>81994.5*2</f>
        <v>163989</v>
      </c>
      <c r="E24" s="52">
        <f>D24/$A$3</f>
        <v>249.9996188774569</v>
      </c>
      <c r="F24" s="16">
        <f>C24*D24</f>
        <v>10167318</v>
      </c>
      <c r="G24" s="16">
        <f>+F24/655.957</f>
        <v>15499.976370402328</v>
      </c>
      <c r="H24" s="52">
        <v>12</v>
      </c>
      <c r="I24" s="52">
        <f>81994.5*2</f>
        <v>163989</v>
      </c>
      <c r="J24" s="52">
        <f>I24/$A$3</f>
        <v>249.9996188774569</v>
      </c>
      <c r="K24" s="16">
        <f>H24*I24</f>
        <v>1967868</v>
      </c>
      <c r="L24" s="16">
        <f>+K24/655.957</f>
        <v>2999.9954265294828</v>
      </c>
      <c r="M24" s="16"/>
      <c r="N24" s="16">
        <f>+K24</f>
        <v>1967868</v>
      </c>
      <c r="O24" s="16"/>
      <c r="P24" s="16">
        <v>1979234</v>
      </c>
      <c r="Q24" s="16">
        <f t="shared" ref="Q24:Q25" si="20">+P24/655.957</f>
        <v>3017.3227818286869</v>
      </c>
      <c r="R24" s="16">
        <f t="shared" ref="R24:R25" si="21">+K24-P24</f>
        <v>-11366</v>
      </c>
      <c r="S24" s="16">
        <f t="shared" ref="S24:S25" si="22">+R24/655.957</f>
        <v>-17.327355299204065</v>
      </c>
      <c r="T24" s="43">
        <f>+P24/K24</f>
        <v>1.0057757939048757</v>
      </c>
    </row>
    <row r="25" spans="1:20" ht="15" customHeight="1">
      <c r="A25" s="62" t="s">
        <v>46</v>
      </c>
      <c r="B25" s="15" t="s">
        <v>30</v>
      </c>
      <c r="C25" s="52">
        <v>62</v>
      </c>
      <c r="D25" s="52">
        <f>81994.5*2</f>
        <v>163989</v>
      </c>
      <c r="E25" s="52">
        <f>D25/$A$3</f>
        <v>249.9996188774569</v>
      </c>
      <c r="F25" s="16">
        <f>C25*D25</f>
        <v>10167318</v>
      </c>
      <c r="G25" s="16">
        <f>+F25/655.957</f>
        <v>15499.976370402328</v>
      </c>
      <c r="H25" s="52">
        <v>12</v>
      </c>
      <c r="I25" s="52">
        <f>81994.5*2</f>
        <v>163989</v>
      </c>
      <c r="J25" s="52">
        <f>I25/$A$3</f>
        <v>249.9996188774569</v>
      </c>
      <c r="K25" s="16">
        <f>H25*I25</f>
        <v>1967868</v>
      </c>
      <c r="L25" s="16">
        <f>+K25/655.957</f>
        <v>2999.9954265294828</v>
      </c>
      <c r="M25" s="16"/>
      <c r="N25" s="16"/>
      <c r="O25" s="16">
        <f>+K25</f>
        <v>1967868</v>
      </c>
      <c r="P25" s="27">
        <v>1911452.14</v>
      </c>
      <c r="Q25" s="16">
        <f t="shared" si="20"/>
        <v>2913.9900023934492</v>
      </c>
      <c r="R25" s="16">
        <f t="shared" si="21"/>
        <v>56415.860000000102</v>
      </c>
      <c r="S25" s="16">
        <f t="shared" si="22"/>
        <v>86.005424136033469</v>
      </c>
      <c r="T25" s="43">
        <f>+P25/K25</f>
        <v>0.97133148158311422</v>
      </c>
    </row>
    <row r="26" spans="1:20" ht="15" customHeight="1" collapsed="1">
      <c r="A26" s="63" t="s">
        <v>47</v>
      </c>
      <c r="B26" s="51"/>
      <c r="C26" s="51"/>
      <c r="D26" s="51"/>
      <c r="E26" s="51"/>
      <c r="F26" s="18">
        <f>SUM(F24:F25)</f>
        <v>20334636</v>
      </c>
      <c r="G26" s="18">
        <f>SUM(G24:G25)</f>
        <v>30999.952740804656</v>
      </c>
      <c r="H26" s="18"/>
      <c r="I26" s="18"/>
      <c r="J26" s="18"/>
      <c r="K26" s="18">
        <f>SUM(K24:K25)</f>
        <v>3935736</v>
      </c>
      <c r="L26" s="18">
        <f t="shared" ref="L26:S26" si="23">SUM(L24:L25)</f>
        <v>5999.9908530589655</v>
      </c>
      <c r="M26" s="18">
        <f t="shared" si="23"/>
        <v>0</v>
      </c>
      <c r="N26" s="18">
        <f t="shared" si="23"/>
        <v>1967868</v>
      </c>
      <c r="O26" s="18">
        <f t="shared" si="23"/>
        <v>1967868</v>
      </c>
      <c r="P26" s="18">
        <f>SUM(P24:P25)</f>
        <v>3890686.1399999997</v>
      </c>
      <c r="Q26" s="18">
        <f t="shared" si="23"/>
        <v>5931.3127842221365</v>
      </c>
      <c r="R26" s="18">
        <f>SUM(R24:R25)</f>
        <v>45049.860000000102</v>
      </c>
      <c r="S26" s="18">
        <f t="shared" si="23"/>
        <v>68.678068836829397</v>
      </c>
      <c r="T26" s="47"/>
    </row>
    <row r="27" spans="1:20" ht="15" customHeight="1">
      <c r="A27" s="61" t="s">
        <v>48</v>
      </c>
      <c r="B27" s="12"/>
      <c r="C27" s="3"/>
      <c r="D27" s="3"/>
      <c r="E27" s="3"/>
      <c r="F27" s="13"/>
      <c r="G27" s="13"/>
      <c r="H27" s="3"/>
      <c r="I27" s="3"/>
      <c r="J27" s="3"/>
      <c r="K27" s="13"/>
      <c r="L27" s="13"/>
      <c r="M27" s="16"/>
      <c r="N27" s="16"/>
      <c r="O27" s="16"/>
      <c r="P27" s="13"/>
      <c r="Q27" s="13"/>
      <c r="R27" s="13"/>
      <c r="S27" s="13"/>
      <c r="T27" s="46"/>
    </row>
    <row r="28" spans="1:20" ht="15" customHeight="1">
      <c r="A28" s="61" t="s">
        <v>22</v>
      </c>
      <c r="B28" s="12"/>
      <c r="C28" s="3"/>
      <c r="D28" s="3"/>
      <c r="E28" s="3"/>
      <c r="F28" s="13"/>
      <c r="G28" s="13"/>
      <c r="H28" s="3"/>
      <c r="I28" s="3"/>
      <c r="J28" s="3"/>
      <c r="K28" s="13"/>
      <c r="L28" s="13"/>
      <c r="M28" s="16"/>
      <c r="N28" s="16"/>
      <c r="O28" s="16"/>
      <c r="P28" s="13"/>
      <c r="Q28" s="13"/>
      <c r="R28" s="13"/>
      <c r="S28" s="13"/>
      <c r="T28" s="46"/>
    </row>
    <row r="29" spans="1:20" ht="24" customHeight="1">
      <c r="A29" s="62" t="s">
        <v>49</v>
      </c>
      <c r="B29" s="15" t="s">
        <v>50</v>
      </c>
      <c r="C29" s="52">
        <v>4</v>
      </c>
      <c r="D29" s="52">
        <v>721552.7</v>
      </c>
      <c r="E29" s="52">
        <f t="shared" ref="E29:E34" si="24">D29/$A$3</f>
        <v>1100</v>
      </c>
      <c r="F29" s="16">
        <f>C29*D29</f>
        <v>2886210.8</v>
      </c>
      <c r="G29" s="16">
        <f>+F29/655.957</f>
        <v>4400</v>
      </c>
      <c r="H29" s="52">
        <v>0</v>
      </c>
      <c r="I29" s="52">
        <v>721552.7</v>
      </c>
      <c r="J29" s="52">
        <f t="shared" ref="J29:J34" si="25">I29/$A$3</f>
        <v>1100</v>
      </c>
      <c r="K29" s="16">
        <f>H29*I29</f>
        <v>0</v>
      </c>
      <c r="L29" s="16">
        <f>+K29/655.957</f>
        <v>0</v>
      </c>
      <c r="M29" s="16"/>
      <c r="N29" s="16"/>
      <c r="O29" s="16"/>
      <c r="P29" s="16"/>
      <c r="Q29" s="16">
        <f t="shared" ref="Q29:Q34" si="26">+P29/655.957</f>
        <v>0</v>
      </c>
      <c r="R29" s="16">
        <f t="shared" ref="R29:R34" si="27">+K29-P29</f>
        <v>0</v>
      </c>
      <c r="S29" s="16">
        <f t="shared" ref="S29:S34" si="28">+R29/655.957</f>
        <v>0</v>
      </c>
      <c r="T29" s="43"/>
    </row>
    <row r="30" spans="1:20" ht="15" customHeight="1">
      <c r="A30" s="62" t="s">
        <v>51</v>
      </c>
      <c r="B30" s="15" t="s">
        <v>52</v>
      </c>
      <c r="C30" s="52">
        <v>1</v>
      </c>
      <c r="D30" s="52">
        <v>327978.5</v>
      </c>
      <c r="E30" s="52">
        <f t="shared" si="24"/>
        <v>500</v>
      </c>
      <c r="F30" s="16">
        <f>C30*D30</f>
        <v>327978.5</v>
      </c>
      <c r="G30" s="16">
        <f>+F30/655.957</f>
        <v>500</v>
      </c>
      <c r="H30" s="52">
        <v>0</v>
      </c>
      <c r="I30" s="52">
        <v>327978.5</v>
      </c>
      <c r="J30" s="52">
        <f t="shared" si="25"/>
        <v>500</v>
      </c>
      <c r="K30" s="16">
        <f>H30*I30</f>
        <v>0</v>
      </c>
      <c r="L30" s="16">
        <f>+K30/655.957</f>
        <v>0</v>
      </c>
      <c r="M30" s="16"/>
      <c r="N30" s="16"/>
      <c r="O30" s="16"/>
      <c r="P30" s="16"/>
      <c r="Q30" s="16">
        <f t="shared" si="26"/>
        <v>0</v>
      </c>
      <c r="R30" s="16">
        <f t="shared" si="27"/>
        <v>0</v>
      </c>
      <c r="S30" s="16">
        <f t="shared" si="28"/>
        <v>0</v>
      </c>
      <c r="T30" s="43"/>
    </row>
    <row r="31" spans="1:20" ht="15" customHeight="1">
      <c r="A31" s="62" t="s">
        <v>53</v>
      </c>
      <c r="B31" s="15" t="s">
        <v>30</v>
      </c>
      <c r="C31" s="52">
        <v>62</v>
      </c>
      <c r="D31" s="52">
        <f>131191.482/2</f>
        <v>65595.740999999995</v>
      </c>
      <c r="E31" s="52">
        <f t="shared" si="24"/>
        <v>100.00006250409706</v>
      </c>
      <c r="F31" s="16">
        <f>+(65596*26)+(D31*48)</f>
        <v>4854091.568</v>
      </c>
      <c r="G31" s="16">
        <f t="shared" ref="G31:G34" si="29">+F31/655.957</f>
        <v>7400.0148912200038</v>
      </c>
      <c r="H31" s="52">
        <v>12</v>
      </c>
      <c r="I31" s="52">
        <f>131191.482/2</f>
        <v>65595.740999999995</v>
      </c>
      <c r="J31" s="52">
        <f t="shared" si="25"/>
        <v>100.00006250409706</v>
      </c>
      <c r="K31" s="16">
        <f>+H31*I31</f>
        <v>787148.89199999999</v>
      </c>
      <c r="L31" s="16">
        <f t="shared" ref="L31:L34" si="30">+K31/655.957</f>
        <v>1200.0007500491647</v>
      </c>
      <c r="M31" s="16"/>
      <c r="N31" s="16">
        <f>+K31</f>
        <v>787148.89199999999</v>
      </c>
      <c r="O31" s="16"/>
      <c r="P31" s="16">
        <v>787148</v>
      </c>
      <c r="Q31" s="16">
        <f t="shared" si="26"/>
        <v>1199.9993902039312</v>
      </c>
      <c r="R31" s="16">
        <f t="shared" si="27"/>
        <v>0.89199999999254942</v>
      </c>
      <c r="S31" s="16">
        <f t="shared" si="28"/>
        <v>1.3598452337463423E-3</v>
      </c>
      <c r="T31" s="43">
        <f>+P31/K31</f>
        <v>0.99999886679634686</v>
      </c>
    </row>
    <row r="32" spans="1:20" ht="15" customHeight="1">
      <c r="A32" s="62" t="s">
        <v>54</v>
      </c>
      <c r="B32" s="15" t="s">
        <v>30</v>
      </c>
      <c r="C32" s="52">
        <v>62</v>
      </c>
      <c r="D32" s="52">
        <f>327978.5164/2</f>
        <v>163989.25820000001</v>
      </c>
      <c r="E32" s="52">
        <f t="shared" si="24"/>
        <v>250.00001250081942</v>
      </c>
      <c r="F32" s="16">
        <f>+(163989*26)+(D32*48)</f>
        <v>12135198.3936</v>
      </c>
      <c r="G32" s="16">
        <f t="shared" si="29"/>
        <v>18499.99069085321</v>
      </c>
      <c r="H32" s="52">
        <v>12</v>
      </c>
      <c r="I32" s="52">
        <f>327978.5164/2</f>
        <v>163989.25820000001</v>
      </c>
      <c r="J32" s="52">
        <f t="shared" si="25"/>
        <v>250.00001250081942</v>
      </c>
      <c r="K32" s="16">
        <f t="shared" ref="K32:K34" si="31">+H32*I32</f>
        <v>1967871.0984</v>
      </c>
      <c r="L32" s="16">
        <f t="shared" si="30"/>
        <v>3000.0001500098329</v>
      </c>
      <c r="M32" s="16"/>
      <c r="N32" s="16">
        <f>+K32</f>
        <v>1967871.0984</v>
      </c>
      <c r="O32" s="16"/>
      <c r="P32" s="16">
        <v>1967872</v>
      </c>
      <c r="Q32" s="16">
        <f t="shared" si="26"/>
        <v>3000.0015244901724</v>
      </c>
      <c r="R32" s="16">
        <f t="shared" si="27"/>
        <v>-0.90159999998286366</v>
      </c>
      <c r="S32" s="16">
        <f t="shared" si="28"/>
        <v>-1.3744803393863677E-3</v>
      </c>
      <c r="T32" s="43">
        <f>+P32/K32</f>
        <v>1.0000004581600903</v>
      </c>
    </row>
    <row r="33" spans="1:20" ht="15" customHeight="1">
      <c r="A33" s="62" t="s">
        <v>55</v>
      </c>
      <c r="B33" s="15" t="s">
        <v>30</v>
      </c>
      <c r="C33" s="52">
        <v>62</v>
      </c>
      <c r="D33" s="52">
        <f>163989.25/2</f>
        <v>81994.625</v>
      </c>
      <c r="E33" s="52">
        <f t="shared" si="24"/>
        <v>125</v>
      </c>
      <c r="F33" s="16">
        <f>+(81995*26)+(D33*48)</f>
        <v>6067612</v>
      </c>
      <c r="G33" s="16">
        <f t="shared" si="29"/>
        <v>9250.0148637791808</v>
      </c>
      <c r="H33" s="52">
        <v>12</v>
      </c>
      <c r="I33" s="52">
        <f>163989.25/2</f>
        <v>81994.625</v>
      </c>
      <c r="J33" s="52">
        <f t="shared" si="25"/>
        <v>125</v>
      </c>
      <c r="K33" s="16">
        <f t="shared" si="31"/>
        <v>983935.5</v>
      </c>
      <c r="L33" s="16">
        <f t="shared" si="30"/>
        <v>1500</v>
      </c>
      <c r="M33" s="16"/>
      <c r="N33" s="16">
        <f>+K33</f>
        <v>983935.5</v>
      </c>
      <c r="O33" s="16"/>
      <c r="P33" s="16">
        <v>983936</v>
      </c>
      <c r="Q33" s="16">
        <f t="shared" si="26"/>
        <v>1500.0007622450862</v>
      </c>
      <c r="R33" s="16">
        <f t="shared" si="27"/>
        <v>-0.5</v>
      </c>
      <c r="S33" s="16">
        <f t="shared" si="28"/>
        <v>-7.622450861870519E-4</v>
      </c>
      <c r="T33" s="43">
        <f>+P33/K33</f>
        <v>1.0000005081633907</v>
      </c>
    </row>
    <row r="34" spans="1:20" ht="15" customHeight="1">
      <c r="A34" s="62" t="s">
        <v>56</v>
      </c>
      <c r="B34" s="15" t="s">
        <v>30</v>
      </c>
      <c r="C34" s="52">
        <v>36</v>
      </c>
      <c r="D34" s="52">
        <v>100000</v>
      </c>
      <c r="E34" s="52">
        <f t="shared" si="24"/>
        <v>152.44901723741037</v>
      </c>
      <c r="F34" s="16">
        <f>C34*D34</f>
        <v>3600000</v>
      </c>
      <c r="G34" s="16">
        <f t="shared" si="29"/>
        <v>5488.1646205467741</v>
      </c>
      <c r="H34" s="52">
        <v>12</v>
      </c>
      <c r="I34" s="52">
        <v>100000</v>
      </c>
      <c r="J34" s="52">
        <f t="shared" si="25"/>
        <v>152.44901723741037</v>
      </c>
      <c r="K34" s="16">
        <f t="shared" si="31"/>
        <v>1200000</v>
      </c>
      <c r="L34" s="16">
        <f t="shared" si="30"/>
        <v>1829.3882068489245</v>
      </c>
      <c r="M34" s="16"/>
      <c r="N34" s="16">
        <f>+K34</f>
        <v>1200000</v>
      </c>
      <c r="O34" s="16"/>
      <c r="P34" s="16">
        <v>1200000</v>
      </c>
      <c r="Q34" s="16">
        <f t="shared" si="26"/>
        <v>1829.3882068489245</v>
      </c>
      <c r="R34" s="16">
        <f t="shared" si="27"/>
        <v>0</v>
      </c>
      <c r="S34" s="16">
        <f t="shared" si="28"/>
        <v>0</v>
      </c>
      <c r="T34" s="43">
        <f>+P34/K34</f>
        <v>1</v>
      </c>
    </row>
    <row r="35" spans="1:20" ht="15" customHeight="1">
      <c r="A35" s="63" t="s">
        <v>57</v>
      </c>
      <c r="B35" s="51"/>
      <c r="C35" s="51"/>
      <c r="D35" s="51"/>
      <c r="E35" s="17"/>
      <c r="F35" s="18">
        <f>SUM(F29:F34)</f>
        <v>29871091.261599999</v>
      </c>
      <c r="G35" s="18">
        <f>SUM(G29:G34)</f>
        <v>45538.185066399172</v>
      </c>
      <c r="H35" s="18"/>
      <c r="I35" s="18"/>
      <c r="J35" s="18"/>
      <c r="K35" s="18">
        <f>SUM(K29:K34)</f>
        <v>4938955.4903999995</v>
      </c>
      <c r="L35" s="18">
        <f t="shared" ref="L35:S35" si="32">SUM(L29:L34)</f>
        <v>7529.3891069079227</v>
      </c>
      <c r="M35" s="18">
        <f t="shared" si="32"/>
        <v>0</v>
      </c>
      <c r="N35" s="18">
        <f t="shared" si="32"/>
        <v>4938955.4903999995</v>
      </c>
      <c r="O35" s="18">
        <f t="shared" si="32"/>
        <v>0</v>
      </c>
      <c r="P35" s="18">
        <f>SUM(P29:P34)</f>
        <v>4938956</v>
      </c>
      <c r="Q35" s="18">
        <f t="shared" si="32"/>
        <v>7529.3898837881143</v>
      </c>
      <c r="R35" s="18">
        <f>SUM(R29:R34)</f>
        <v>-0.50959999999031425</v>
      </c>
      <c r="S35" s="18">
        <f t="shared" si="32"/>
        <v>-7.7688019182707731E-4</v>
      </c>
      <c r="T35" s="47"/>
    </row>
    <row r="36" spans="1:20" ht="15" customHeight="1">
      <c r="A36" s="61" t="s">
        <v>23</v>
      </c>
      <c r="B36" s="15"/>
      <c r="C36" s="52"/>
      <c r="D36" s="52"/>
      <c r="E36" s="52"/>
      <c r="F36" s="16"/>
      <c r="G36" s="16"/>
      <c r="H36" s="52"/>
      <c r="I36" s="52"/>
      <c r="J36" s="52"/>
      <c r="K36" s="16"/>
      <c r="L36" s="16"/>
      <c r="M36" s="16"/>
      <c r="N36" s="16"/>
      <c r="O36" s="16"/>
      <c r="P36" s="16"/>
      <c r="Q36" s="16"/>
      <c r="R36" s="16"/>
      <c r="S36" s="16"/>
      <c r="T36" s="43"/>
    </row>
    <row r="37" spans="1:20" ht="15" customHeight="1">
      <c r="A37" s="62" t="s">
        <v>58</v>
      </c>
      <c r="B37" s="15" t="s">
        <v>50</v>
      </c>
      <c r="C37" s="52">
        <v>2</v>
      </c>
      <c r="D37" s="52">
        <v>721552.7</v>
      </c>
      <c r="E37" s="52">
        <f t="shared" ref="E37:E42" si="33">D37/$A$3</f>
        <v>1100</v>
      </c>
      <c r="F37" s="16">
        <f t="shared" ref="F37:F41" si="34">C37*D37</f>
        <v>1443105.4</v>
      </c>
      <c r="G37" s="16">
        <f>+F37/655.957</f>
        <v>2200</v>
      </c>
      <c r="H37" s="52">
        <v>0</v>
      </c>
      <c r="I37" s="52">
        <v>721552.7</v>
      </c>
      <c r="J37" s="52">
        <f t="shared" ref="J37:J42" si="35">I37/$A$3</f>
        <v>1100</v>
      </c>
      <c r="K37" s="16">
        <f t="shared" ref="K37:K40" si="36">H37*I37</f>
        <v>0</v>
      </c>
      <c r="L37" s="16">
        <f>+K37/655.957</f>
        <v>0</v>
      </c>
      <c r="M37" s="16"/>
      <c r="N37" s="16"/>
      <c r="O37" s="16"/>
      <c r="P37" s="27"/>
      <c r="Q37" s="16">
        <f t="shared" ref="Q37:Q42" si="37">+P37/655.957</f>
        <v>0</v>
      </c>
      <c r="R37" s="16">
        <f t="shared" ref="R37:R42" si="38">+K37-P37</f>
        <v>0</v>
      </c>
      <c r="S37" s="16">
        <f t="shared" ref="S37:S42" si="39">+R37/655.957</f>
        <v>0</v>
      </c>
      <c r="T37" s="43"/>
    </row>
    <row r="38" spans="1:20" ht="15" customHeight="1">
      <c r="A38" s="62" t="s">
        <v>59</v>
      </c>
      <c r="B38" s="15" t="s">
        <v>52</v>
      </c>
      <c r="C38" s="52">
        <v>1</v>
      </c>
      <c r="D38" s="52">
        <v>327978.5</v>
      </c>
      <c r="E38" s="52">
        <f t="shared" si="33"/>
        <v>500</v>
      </c>
      <c r="F38" s="16">
        <f t="shared" si="34"/>
        <v>327978.5</v>
      </c>
      <c r="G38" s="16">
        <f>+F38/655.957</f>
        <v>500</v>
      </c>
      <c r="H38" s="52">
        <v>0</v>
      </c>
      <c r="I38" s="52">
        <v>327978.5</v>
      </c>
      <c r="J38" s="52">
        <f t="shared" si="35"/>
        <v>500</v>
      </c>
      <c r="K38" s="16">
        <f t="shared" si="36"/>
        <v>0</v>
      </c>
      <c r="L38" s="16">
        <f>+K38/655.957</f>
        <v>0</v>
      </c>
      <c r="M38" s="16"/>
      <c r="N38" s="16"/>
      <c r="O38" s="16"/>
      <c r="P38" s="27"/>
      <c r="Q38" s="16">
        <f t="shared" si="37"/>
        <v>0</v>
      </c>
      <c r="R38" s="16">
        <f t="shared" si="38"/>
        <v>0</v>
      </c>
      <c r="S38" s="16">
        <f t="shared" si="39"/>
        <v>0</v>
      </c>
      <c r="T38" s="43"/>
    </row>
    <row r="39" spans="1:20" ht="15" customHeight="1">
      <c r="A39" s="62" t="s">
        <v>60</v>
      </c>
      <c r="B39" s="15" t="s">
        <v>30</v>
      </c>
      <c r="C39" s="52">
        <v>62</v>
      </c>
      <c r="D39" s="52">
        <f>131191.482/2</f>
        <v>65595.740999999995</v>
      </c>
      <c r="E39" s="52">
        <f t="shared" si="33"/>
        <v>100.00006250409706</v>
      </c>
      <c r="F39" s="16">
        <f t="shared" si="34"/>
        <v>4066935.9419999998</v>
      </c>
      <c r="G39" s="16">
        <f t="shared" ref="G39:G42" si="40">+F39/655.957</f>
        <v>6200.0038752540177</v>
      </c>
      <c r="H39" s="52">
        <v>12</v>
      </c>
      <c r="I39" s="52">
        <f>131191.482/2</f>
        <v>65595.740999999995</v>
      </c>
      <c r="J39" s="52">
        <f t="shared" si="35"/>
        <v>100.00006250409706</v>
      </c>
      <c r="K39" s="16">
        <f t="shared" si="36"/>
        <v>787148.89199999999</v>
      </c>
      <c r="L39" s="16">
        <f t="shared" ref="L39:L42" si="41">+K39/655.957</f>
        <v>1200.0007500491647</v>
      </c>
      <c r="M39" s="16"/>
      <c r="N39" s="16"/>
      <c r="O39" s="16">
        <f>+K39</f>
        <v>787148.89199999999</v>
      </c>
      <c r="P39" s="27">
        <v>730902.06</v>
      </c>
      <c r="Q39" s="16">
        <f t="shared" si="37"/>
        <v>1114.2530074379877</v>
      </c>
      <c r="R39" s="16">
        <f t="shared" si="38"/>
        <v>56246.831999999937</v>
      </c>
      <c r="S39" s="16">
        <f t="shared" si="39"/>
        <v>85.747742611177159</v>
      </c>
      <c r="T39" s="43">
        <f>+P39/K39</f>
        <v>0.92854359248720131</v>
      </c>
    </row>
    <row r="40" spans="1:20" ht="15" customHeight="1">
      <c r="A40" s="62" t="s">
        <v>61</v>
      </c>
      <c r="B40" s="15" t="s">
        <v>30</v>
      </c>
      <c r="C40" s="52">
        <v>62</v>
      </c>
      <c r="D40" s="52">
        <f>327978.5164/2</f>
        <v>163989.25820000001</v>
      </c>
      <c r="E40" s="52">
        <f t="shared" si="33"/>
        <v>250.00001250081942</v>
      </c>
      <c r="F40" s="16">
        <f t="shared" si="34"/>
        <v>10167334.008400001</v>
      </c>
      <c r="G40" s="16">
        <f t="shared" si="40"/>
        <v>15500.000775050805</v>
      </c>
      <c r="H40" s="52">
        <v>12</v>
      </c>
      <c r="I40" s="52">
        <f>327978.5164/2</f>
        <v>163989.25820000001</v>
      </c>
      <c r="J40" s="52">
        <f t="shared" si="35"/>
        <v>250.00001250081942</v>
      </c>
      <c r="K40" s="16">
        <f t="shared" si="36"/>
        <v>1967871.0984</v>
      </c>
      <c r="L40" s="16">
        <f t="shared" si="41"/>
        <v>3000.0001500098329</v>
      </c>
      <c r="M40" s="16"/>
      <c r="N40" s="16"/>
      <c r="O40" s="16">
        <f>+K40</f>
        <v>1967871.0984</v>
      </c>
      <c r="P40" s="27">
        <v>1703479</v>
      </c>
      <c r="Q40" s="16">
        <f t="shared" si="37"/>
        <v>2596.9369943456659</v>
      </c>
      <c r="R40" s="16">
        <f t="shared" si="38"/>
        <v>264392.09840000002</v>
      </c>
      <c r="S40" s="16">
        <f t="shared" si="39"/>
        <v>403.06315566416703</v>
      </c>
      <c r="T40" s="43">
        <f>+P40/K40</f>
        <v>0.86564562149677027</v>
      </c>
    </row>
    <row r="41" spans="1:20" ht="15" customHeight="1">
      <c r="A41" s="62" t="s">
        <v>62</v>
      </c>
      <c r="B41" s="15" t="s">
        <v>30</v>
      </c>
      <c r="C41" s="52">
        <v>62</v>
      </c>
      <c r="D41" s="52">
        <f>163989.25/2</f>
        <v>81994.625</v>
      </c>
      <c r="E41" s="52">
        <f t="shared" si="33"/>
        <v>125</v>
      </c>
      <c r="F41" s="16">
        <f t="shared" si="34"/>
        <v>5083666.75</v>
      </c>
      <c r="G41" s="16">
        <f t="shared" si="40"/>
        <v>7750</v>
      </c>
      <c r="H41" s="52">
        <v>12</v>
      </c>
      <c r="I41" s="52">
        <f>163989.25/2</f>
        <v>81994.625</v>
      </c>
      <c r="J41" s="52">
        <f t="shared" si="35"/>
        <v>125</v>
      </c>
      <c r="K41" s="16">
        <f>H41*I41</f>
        <v>983935.5</v>
      </c>
      <c r="L41" s="16">
        <f t="shared" si="41"/>
        <v>1500</v>
      </c>
      <c r="M41" s="16"/>
      <c r="N41" s="16"/>
      <c r="O41" s="16">
        <f>+K41</f>
        <v>983935.5</v>
      </c>
      <c r="P41" s="27">
        <v>756920.59</v>
      </c>
      <c r="Q41" s="16">
        <f t="shared" si="37"/>
        <v>1153.9180007226082</v>
      </c>
      <c r="R41" s="16">
        <f t="shared" si="38"/>
        <v>227014.91000000003</v>
      </c>
      <c r="S41" s="16">
        <f t="shared" si="39"/>
        <v>346.08199927739173</v>
      </c>
      <c r="T41" s="43">
        <f>+P41/K41</f>
        <v>0.76927866714840554</v>
      </c>
    </row>
    <row r="42" spans="1:20" ht="15" customHeight="1">
      <c r="A42" s="62" t="s">
        <v>63</v>
      </c>
      <c r="B42" s="15" t="s">
        <v>30</v>
      </c>
      <c r="C42" s="52">
        <v>36</v>
      </c>
      <c r="D42" s="52">
        <v>50000</v>
      </c>
      <c r="E42" s="52">
        <f t="shared" si="33"/>
        <v>76.224508618705187</v>
      </c>
      <c r="F42" s="16">
        <f>C42*D42</f>
        <v>1800000</v>
      </c>
      <c r="G42" s="16">
        <f t="shared" si="40"/>
        <v>2744.0823102733871</v>
      </c>
      <c r="H42" s="52">
        <v>12</v>
      </c>
      <c r="I42" s="52">
        <v>50000</v>
      </c>
      <c r="J42" s="52">
        <f t="shared" si="35"/>
        <v>76.224508618705187</v>
      </c>
      <c r="K42" s="16">
        <f>H42*I42</f>
        <v>600000</v>
      </c>
      <c r="L42" s="16">
        <f t="shared" si="41"/>
        <v>914.69410342446224</v>
      </c>
      <c r="M42" s="16"/>
      <c r="N42" s="16"/>
      <c r="O42" s="16">
        <f>+K42</f>
        <v>600000</v>
      </c>
      <c r="P42" s="27">
        <v>596842.16</v>
      </c>
      <c r="Q42" s="16">
        <f t="shared" si="37"/>
        <v>909.88000737853247</v>
      </c>
      <c r="R42" s="16">
        <f t="shared" si="38"/>
        <v>3157.8399999999674</v>
      </c>
      <c r="S42" s="16">
        <f t="shared" si="39"/>
        <v>4.8140960459297899</v>
      </c>
      <c r="T42" s="43">
        <f>+P42/K42</f>
        <v>0.99473693333333335</v>
      </c>
    </row>
    <row r="43" spans="1:20" ht="15" customHeight="1">
      <c r="A43" s="63" t="s">
        <v>42</v>
      </c>
      <c r="B43" s="20"/>
      <c r="C43" s="17"/>
      <c r="D43" s="17"/>
      <c r="E43" s="17"/>
      <c r="F43" s="18">
        <f>SUM(F37:F42)</f>
        <v>22889020.600400001</v>
      </c>
      <c r="G43" s="18">
        <f>SUM(G37:G42)</f>
        <v>34894.086960578206</v>
      </c>
      <c r="H43" s="18"/>
      <c r="I43" s="18"/>
      <c r="J43" s="18"/>
      <c r="K43" s="18">
        <f>SUM(K37:K42)</f>
        <v>4338955.4903999995</v>
      </c>
      <c r="L43" s="18">
        <f t="shared" ref="L43:S43" si="42">SUM(L37:L42)</f>
        <v>6614.6950034834599</v>
      </c>
      <c r="M43" s="18">
        <f t="shared" si="42"/>
        <v>0</v>
      </c>
      <c r="N43" s="18">
        <f t="shared" si="42"/>
        <v>0</v>
      </c>
      <c r="O43" s="18">
        <f t="shared" si="42"/>
        <v>4338955.4903999995</v>
      </c>
      <c r="P43" s="18">
        <f>SUM(P37:P42)</f>
        <v>3788143.81</v>
      </c>
      <c r="Q43" s="18">
        <f t="shared" si="42"/>
        <v>5774.9880098847943</v>
      </c>
      <c r="R43" s="18">
        <f t="shared" si="42"/>
        <v>550811.68039999995</v>
      </c>
      <c r="S43" s="18">
        <f t="shared" si="42"/>
        <v>839.70699359866569</v>
      </c>
      <c r="T43" s="47"/>
    </row>
    <row r="44" spans="1:20" ht="15" customHeight="1" collapsed="1">
      <c r="A44" s="63" t="s">
        <v>64</v>
      </c>
      <c r="B44" s="51"/>
      <c r="C44" s="17"/>
      <c r="D44" s="17"/>
      <c r="E44" s="17"/>
      <c r="F44" s="18">
        <f>F35+F43</f>
        <v>52760111.862000003</v>
      </c>
      <c r="G44" s="18">
        <f>G35+G43</f>
        <v>80432.272026977385</v>
      </c>
      <c r="H44" s="18"/>
      <c r="I44" s="18"/>
      <c r="J44" s="18"/>
      <c r="K44" s="18">
        <f>K35+K43</f>
        <v>9277910.9807999991</v>
      </c>
      <c r="L44" s="18">
        <f t="shared" ref="L44:S44" si="43">L35+L43</f>
        <v>14144.084110391383</v>
      </c>
      <c r="M44" s="18">
        <f t="shared" si="43"/>
        <v>0</v>
      </c>
      <c r="N44" s="18">
        <f t="shared" si="43"/>
        <v>4938955.4903999995</v>
      </c>
      <c r="O44" s="18">
        <f t="shared" si="43"/>
        <v>4338955.4903999995</v>
      </c>
      <c r="P44" s="18">
        <f>P35+P43</f>
        <v>8727099.8100000005</v>
      </c>
      <c r="Q44" s="18">
        <f t="shared" si="43"/>
        <v>13304.377893672909</v>
      </c>
      <c r="R44" s="18">
        <f t="shared" si="43"/>
        <v>550811.17079999996</v>
      </c>
      <c r="S44" s="18">
        <f t="shared" si="43"/>
        <v>839.70621671847391</v>
      </c>
      <c r="T44" s="47"/>
    </row>
    <row r="45" spans="1:20" ht="15" customHeight="1">
      <c r="A45" s="61" t="s">
        <v>65</v>
      </c>
      <c r="B45" s="12" t="s">
        <v>66</v>
      </c>
      <c r="C45" s="3"/>
      <c r="D45" s="3"/>
      <c r="E45" s="3"/>
      <c r="F45" s="13"/>
      <c r="G45" s="13"/>
      <c r="H45" s="3"/>
      <c r="I45" s="3"/>
      <c r="J45" s="3"/>
      <c r="K45" s="13"/>
      <c r="L45" s="13"/>
      <c r="M45" s="16"/>
      <c r="N45" s="16"/>
      <c r="O45" s="16"/>
      <c r="P45" s="13"/>
      <c r="Q45" s="13"/>
      <c r="R45" s="13"/>
      <c r="S45" s="13"/>
      <c r="T45" s="46"/>
    </row>
    <row r="46" spans="1:20" ht="15" customHeight="1">
      <c r="A46" s="62" t="s">
        <v>67</v>
      </c>
      <c r="B46" s="15" t="s">
        <v>68</v>
      </c>
      <c r="C46" s="52">
        <v>5</v>
      </c>
      <c r="D46" s="52">
        <v>3279785</v>
      </c>
      <c r="E46" s="52">
        <f>D46/$A$3</f>
        <v>5000</v>
      </c>
      <c r="F46" s="16">
        <f t="shared" ref="F46:F47" si="44">C46*D46</f>
        <v>16398925</v>
      </c>
      <c r="G46" s="16">
        <f>+F46/655.957</f>
        <v>25000</v>
      </c>
      <c r="H46" s="52">
        <v>1</v>
      </c>
      <c r="I46" s="52">
        <v>3279785</v>
      </c>
      <c r="J46" s="52">
        <f>I46/$A$3</f>
        <v>5000</v>
      </c>
      <c r="K46" s="16">
        <f>H46*I46</f>
        <v>3279785</v>
      </c>
      <c r="L46" s="16">
        <f>+K46/655.957</f>
        <v>5000</v>
      </c>
      <c r="M46" s="16"/>
      <c r="N46" s="16">
        <f>+K46</f>
        <v>3279785</v>
      </c>
      <c r="O46" s="16"/>
      <c r="P46" s="16">
        <v>3835000</v>
      </c>
      <c r="Q46" s="16">
        <f t="shared" ref="Q46:Q49" si="45">+P46/655.957</f>
        <v>5846.4198110546877</v>
      </c>
      <c r="R46" s="16">
        <f t="shared" ref="R46:R49" si="46">+K46-P46</f>
        <v>-555215</v>
      </c>
      <c r="S46" s="16">
        <f t="shared" ref="S46:S49" si="47">+R46/655.957</f>
        <v>-846.41981105468801</v>
      </c>
      <c r="T46" s="43">
        <f>+P46/K46</f>
        <v>1.1692839622109377</v>
      </c>
    </row>
    <row r="47" spans="1:20" ht="15" customHeight="1">
      <c r="A47" s="64" t="s">
        <v>69</v>
      </c>
      <c r="B47" s="15" t="s">
        <v>70</v>
      </c>
      <c r="C47" s="52">
        <v>5</v>
      </c>
      <c r="D47" s="52">
        <v>1330937</v>
      </c>
      <c r="E47" s="52">
        <f>D47/$A$3</f>
        <v>2029.0003765490726</v>
      </c>
      <c r="F47" s="16">
        <f t="shared" si="44"/>
        <v>6654685</v>
      </c>
      <c r="G47" s="16">
        <f>+F47/655.957</f>
        <v>10145.001882745362</v>
      </c>
      <c r="H47" s="52">
        <v>1</v>
      </c>
      <c r="I47" s="52">
        <v>1330937</v>
      </c>
      <c r="J47" s="52">
        <f>I47/$A$3</f>
        <v>2029.0003765490726</v>
      </c>
      <c r="K47" s="16">
        <f t="shared" ref="K47" si="48">H47*I47</f>
        <v>1330937</v>
      </c>
      <c r="L47" s="16">
        <f>+K47/655.957</f>
        <v>2029.0003765490726</v>
      </c>
      <c r="M47" s="16"/>
      <c r="N47" s="16">
        <f>+K47</f>
        <v>1330937</v>
      </c>
      <c r="O47" s="16"/>
      <c r="P47" s="16">
        <v>932284</v>
      </c>
      <c r="Q47" s="16">
        <f t="shared" si="45"/>
        <v>1421.2577958616189</v>
      </c>
      <c r="R47" s="16">
        <f t="shared" si="46"/>
        <v>398653</v>
      </c>
      <c r="S47" s="16">
        <f t="shared" si="47"/>
        <v>607.7425806874536</v>
      </c>
      <c r="T47" s="43">
        <f>+P47/K47</f>
        <v>0.70047192316390638</v>
      </c>
    </row>
    <row r="48" spans="1:20" ht="15" customHeight="1">
      <c r="A48" s="62" t="s">
        <v>71</v>
      </c>
      <c r="B48" s="15" t="s">
        <v>30</v>
      </c>
      <c r="C48" s="52">
        <v>62</v>
      </c>
      <c r="D48" s="52">
        <v>32798</v>
      </c>
      <c r="E48" s="52">
        <f>D48/$A$3</f>
        <v>50.000228673525854</v>
      </c>
      <c r="F48" s="16">
        <f>C48*D48</f>
        <v>2033476</v>
      </c>
      <c r="G48" s="16">
        <f t="shared" ref="G48" si="49">+F48/655.957</f>
        <v>3100.0141777586032</v>
      </c>
      <c r="H48" s="52">
        <v>12</v>
      </c>
      <c r="I48" s="52">
        <v>32798</v>
      </c>
      <c r="J48" s="52">
        <f>I48/$A$3</f>
        <v>50.000228673525854</v>
      </c>
      <c r="K48" s="16">
        <f>H48*I48</f>
        <v>393576</v>
      </c>
      <c r="L48" s="16">
        <f t="shared" ref="L48" si="50">+K48/655.957</f>
        <v>600.0027440823103</v>
      </c>
      <c r="M48" s="16"/>
      <c r="N48" s="16">
        <f>+K48</f>
        <v>393576</v>
      </c>
      <c r="O48" s="16"/>
      <c r="P48" s="16">
        <v>357237</v>
      </c>
      <c r="Q48" s="16">
        <f t="shared" si="45"/>
        <v>544.60429570840768</v>
      </c>
      <c r="R48" s="16">
        <f t="shared" si="46"/>
        <v>36339</v>
      </c>
      <c r="S48" s="16">
        <f t="shared" si="47"/>
        <v>55.398448373902561</v>
      </c>
      <c r="T48" s="43">
        <f>+P48/K48</f>
        <v>0.9076696749801817</v>
      </c>
    </row>
    <row r="49" spans="1:20" ht="15" customHeight="1">
      <c r="A49" s="62" t="s">
        <v>72</v>
      </c>
      <c r="B49" s="15" t="s">
        <v>73</v>
      </c>
      <c r="C49" s="52">
        <v>0</v>
      </c>
      <c r="D49" s="52">
        <f>2000*A3</f>
        <v>1311914</v>
      </c>
      <c r="E49" s="52">
        <f>D49/$A$3</f>
        <v>2000</v>
      </c>
      <c r="F49" s="16">
        <f t="shared" ref="F49" si="51">C49*D49</f>
        <v>0</v>
      </c>
      <c r="G49" s="16">
        <f>+F49/655.957</f>
        <v>0</v>
      </c>
      <c r="H49" s="52">
        <v>0</v>
      </c>
      <c r="I49" s="52">
        <f>2000*B2</f>
        <v>0</v>
      </c>
      <c r="J49" s="52">
        <f>I49/$A$3</f>
        <v>0</v>
      </c>
      <c r="K49" s="16">
        <f t="shared" ref="K49" si="52">H49*I49</f>
        <v>0</v>
      </c>
      <c r="L49" s="16">
        <f>+K49/655.957</f>
        <v>0</v>
      </c>
      <c r="M49" s="16"/>
      <c r="N49" s="16">
        <f>+K49</f>
        <v>0</v>
      </c>
      <c r="O49" s="16"/>
      <c r="P49" s="16">
        <v>0</v>
      </c>
      <c r="Q49" s="16">
        <f t="shared" si="45"/>
        <v>0</v>
      </c>
      <c r="R49" s="16">
        <f t="shared" si="46"/>
        <v>0</v>
      </c>
      <c r="S49" s="16">
        <f t="shared" si="47"/>
        <v>0</v>
      </c>
      <c r="T49" s="43"/>
    </row>
    <row r="50" spans="1:20" ht="15" customHeight="1" collapsed="1">
      <c r="A50" s="63" t="s">
        <v>74</v>
      </c>
      <c r="B50" s="51"/>
      <c r="C50" s="17"/>
      <c r="D50" s="17"/>
      <c r="E50" s="17"/>
      <c r="F50" s="18">
        <f>SUM(F46:F49)</f>
        <v>25087086</v>
      </c>
      <c r="G50" s="18">
        <f>SUM(G46:G49)</f>
        <v>38245.016060503964</v>
      </c>
      <c r="H50" s="18"/>
      <c r="I50" s="18"/>
      <c r="J50" s="18"/>
      <c r="K50" s="18">
        <f>SUM(K46:K49)</f>
        <v>5004298</v>
      </c>
      <c r="L50" s="18">
        <f t="shared" ref="L50:Q50" si="53">SUM(L46:L49)</f>
        <v>7629.0031206313834</v>
      </c>
      <c r="M50" s="18">
        <f t="shared" si="53"/>
        <v>0</v>
      </c>
      <c r="N50" s="18">
        <f t="shared" si="53"/>
        <v>5004298</v>
      </c>
      <c r="O50" s="18">
        <f t="shared" si="53"/>
        <v>0</v>
      </c>
      <c r="P50" s="18">
        <f>SUM(P46:P49)</f>
        <v>5124521</v>
      </c>
      <c r="Q50" s="18">
        <f t="shared" si="53"/>
        <v>7812.2819026247134</v>
      </c>
      <c r="R50" s="18">
        <f t="shared" ref="R50:S50" si="54">SUM(R46:R49)</f>
        <v>-120223</v>
      </c>
      <c r="S50" s="18">
        <f t="shared" si="54"/>
        <v>-183.27878199333185</v>
      </c>
      <c r="T50" s="47"/>
    </row>
    <row r="51" spans="1:20" ht="15" customHeight="1">
      <c r="A51" s="61" t="s">
        <v>75</v>
      </c>
      <c r="B51" s="12"/>
      <c r="C51" s="3"/>
      <c r="D51" s="3"/>
      <c r="E51" s="3"/>
      <c r="F51" s="13"/>
      <c r="G51" s="13"/>
      <c r="H51" s="3"/>
      <c r="I51" s="3"/>
      <c r="J51" s="3"/>
      <c r="K51" s="13"/>
      <c r="L51" s="13"/>
      <c r="M51" s="16"/>
      <c r="N51" s="16"/>
      <c r="O51" s="16"/>
      <c r="P51" s="13"/>
      <c r="Q51" s="13"/>
      <c r="R51" s="13"/>
      <c r="S51" s="13"/>
      <c r="T51" s="46"/>
    </row>
    <row r="52" spans="1:20" ht="15" customHeight="1">
      <c r="A52" s="62" t="s">
        <v>76</v>
      </c>
      <c r="B52" s="15" t="s">
        <v>77</v>
      </c>
      <c r="C52" s="52">
        <v>1</v>
      </c>
      <c r="D52" s="52">
        <v>2000000</v>
      </c>
      <c r="E52" s="52">
        <f>D52/$A$3</f>
        <v>3048.9803447482077</v>
      </c>
      <c r="F52" s="16">
        <f>C52*D52</f>
        <v>2000000</v>
      </c>
      <c r="G52" s="16">
        <f t="shared" ref="G52" si="55">+F52/655.957</f>
        <v>3048.9803447482077</v>
      </c>
      <c r="H52" s="52">
        <v>0</v>
      </c>
      <c r="I52" s="52">
        <v>2000000</v>
      </c>
      <c r="J52" s="52">
        <f>I52/$A$3</f>
        <v>3048.9803447482077</v>
      </c>
      <c r="K52" s="16">
        <f>H52*I52</f>
        <v>0</v>
      </c>
      <c r="L52" s="16">
        <f t="shared" ref="L52" si="56">+K52/655.957</f>
        <v>0</v>
      </c>
      <c r="M52" s="16"/>
      <c r="N52" s="16">
        <f>+K52</f>
        <v>0</v>
      </c>
      <c r="O52" s="16"/>
      <c r="P52" s="16">
        <v>0</v>
      </c>
      <c r="Q52" s="16">
        <f>+P52/655.957</f>
        <v>0</v>
      </c>
      <c r="R52" s="16">
        <f>+K52-P52</f>
        <v>0</v>
      </c>
      <c r="S52" s="16">
        <f>+R52/655.957</f>
        <v>0</v>
      </c>
      <c r="T52" s="43" t="e">
        <f>+P52/K52</f>
        <v>#DIV/0!</v>
      </c>
    </row>
    <row r="53" spans="1:20" ht="15.6" customHeight="1" collapsed="1">
      <c r="A53" s="63" t="s">
        <v>78</v>
      </c>
      <c r="B53" s="51"/>
      <c r="C53" s="17"/>
      <c r="D53" s="17"/>
      <c r="E53" s="17"/>
      <c r="F53" s="18">
        <f>SUM(F52:F52)</f>
        <v>2000000</v>
      </c>
      <c r="G53" s="18">
        <f>+F53/655.957</f>
        <v>3048.9803447482077</v>
      </c>
      <c r="H53" s="18"/>
      <c r="I53" s="18"/>
      <c r="J53" s="18"/>
      <c r="K53" s="18">
        <f>SUM(K52)</f>
        <v>0</v>
      </c>
      <c r="L53" s="18">
        <f t="shared" ref="L53:S53" si="57">SUM(L52)</f>
        <v>0</v>
      </c>
      <c r="M53" s="18">
        <f t="shared" si="57"/>
        <v>0</v>
      </c>
      <c r="N53" s="18">
        <f t="shared" si="57"/>
        <v>0</v>
      </c>
      <c r="O53" s="18">
        <f t="shared" si="57"/>
        <v>0</v>
      </c>
      <c r="P53" s="18">
        <f>SUM(P52)</f>
        <v>0</v>
      </c>
      <c r="Q53" s="18">
        <f t="shared" si="57"/>
        <v>0</v>
      </c>
      <c r="R53" s="18">
        <f t="shared" si="57"/>
        <v>0</v>
      </c>
      <c r="S53" s="18">
        <f t="shared" si="57"/>
        <v>0</v>
      </c>
      <c r="T53" s="47"/>
    </row>
    <row r="54" spans="1:20" ht="26.1" customHeight="1">
      <c r="A54" s="65" t="s">
        <v>79</v>
      </c>
      <c r="B54" s="22"/>
      <c r="C54" s="23"/>
      <c r="D54" s="23"/>
      <c r="E54" s="23"/>
      <c r="F54" s="24">
        <f>F22+F26+F44+F50+F53</f>
        <v>422183744.26199996</v>
      </c>
      <c r="G54" s="24">
        <f>G22+G26+G44+G50+G53</f>
        <v>643614.96906352101</v>
      </c>
      <c r="H54" s="24"/>
      <c r="I54" s="24"/>
      <c r="J54" s="24"/>
      <c r="K54" s="24">
        <f>K22+K26+K44+K50+K53</f>
        <v>80540895.380799994</v>
      </c>
      <c r="L54" s="24">
        <f>L22+L26+L44+L50+L53</f>
        <v>122783.80348224044</v>
      </c>
      <c r="M54" s="24">
        <f t="shared" ref="M54:S54" si="58">M22+M26+M44+M50+M53</f>
        <v>6612048</v>
      </c>
      <c r="N54" s="24">
        <f t="shared" si="58"/>
        <v>46742801.490400001</v>
      </c>
      <c r="O54" s="24">
        <f t="shared" si="58"/>
        <v>27186045.8904</v>
      </c>
      <c r="P54" s="24">
        <f>P22+P26+P44+P50+P53</f>
        <v>81495897.699599996</v>
      </c>
      <c r="Q54" s="24">
        <f>Q22+Q26+Q44+Q50+Q53</f>
        <v>124239.69513184552</v>
      </c>
      <c r="R54" s="24">
        <f t="shared" si="58"/>
        <v>-955002.31880000071</v>
      </c>
      <c r="S54" s="24">
        <f t="shared" si="58"/>
        <v>-1455.8916496050815</v>
      </c>
      <c r="T54" s="48"/>
    </row>
    <row r="55" spans="1:20" ht="27.95" customHeight="1">
      <c r="A55" s="61" t="s">
        <v>80</v>
      </c>
      <c r="B55" s="15"/>
      <c r="C55" s="25"/>
      <c r="D55" s="25"/>
      <c r="E55" s="25"/>
      <c r="F55" s="16"/>
      <c r="G55" s="16"/>
      <c r="H55" s="25"/>
      <c r="I55" s="25"/>
      <c r="J55" s="25"/>
      <c r="K55" s="16"/>
      <c r="L55" s="16"/>
      <c r="M55" s="16"/>
      <c r="N55" s="16"/>
      <c r="O55" s="16"/>
      <c r="P55" s="16"/>
      <c r="Q55" s="16"/>
      <c r="R55" s="16"/>
      <c r="S55" s="16"/>
      <c r="T55" s="43"/>
    </row>
    <row r="56" spans="1:20" ht="27.95" customHeight="1">
      <c r="A56" s="66" t="s">
        <v>81</v>
      </c>
      <c r="B56" s="15" t="s">
        <v>82</v>
      </c>
      <c r="C56" s="52">
        <v>1</v>
      </c>
      <c r="D56" s="16">
        <v>10000000</v>
      </c>
      <c r="E56" s="52">
        <f>D56/$A$3</f>
        <v>15244.901723741039</v>
      </c>
      <c r="F56" s="16">
        <f>C56*D56</f>
        <v>10000000</v>
      </c>
      <c r="G56" s="16">
        <f>+F56/655.957</f>
        <v>15244.901723741039</v>
      </c>
      <c r="H56" s="52">
        <v>0</v>
      </c>
      <c r="I56" s="16">
        <v>10000000</v>
      </c>
      <c r="J56" s="52">
        <f>I56/$A$3</f>
        <v>15244.901723741039</v>
      </c>
      <c r="K56" s="16">
        <f>H56*I56</f>
        <v>0</v>
      </c>
      <c r="L56" s="16">
        <f>+K56/655.957</f>
        <v>0</v>
      </c>
      <c r="M56" s="16"/>
      <c r="N56" s="16" t="s">
        <v>2</v>
      </c>
      <c r="O56" s="16"/>
      <c r="P56" s="16"/>
      <c r="Q56" s="16">
        <f t="shared" ref="Q56:Q70" si="59">+P56/655.957</f>
        <v>0</v>
      </c>
      <c r="R56" s="16">
        <f t="shared" ref="R56:R70" si="60">+K56-P56</f>
        <v>0</v>
      </c>
      <c r="S56" s="16">
        <f t="shared" ref="S56:S70" si="61">+R56/655.957</f>
        <v>0</v>
      </c>
      <c r="T56" s="43"/>
    </row>
    <row r="57" spans="1:20" ht="27.95" customHeight="1">
      <c r="A57" s="66" t="s">
        <v>83</v>
      </c>
      <c r="B57" s="15" t="s">
        <v>82</v>
      </c>
      <c r="C57" s="52">
        <v>1</v>
      </c>
      <c r="D57" s="16">
        <f>3811.22543093526*655.957</f>
        <v>2500000.0000000005</v>
      </c>
      <c r="E57" s="52">
        <f>D57/$A$3</f>
        <v>3811.2254309352602</v>
      </c>
      <c r="F57" s="16">
        <f t="shared" ref="F57:F70" si="62">C57*D57</f>
        <v>2500000.0000000005</v>
      </c>
      <c r="G57" s="16">
        <f t="shared" ref="G57:G70" si="63">+F57/655.957</f>
        <v>3811.2254309352602</v>
      </c>
      <c r="H57" s="52">
        <v>0</v>
      </c>
      <c r="I57" s="16">
        <f>3811.22543093526*655.957</f>
        <v>2500000.0000000005</v>
      </c>
      <c r="J57" s="52">
        <f>I57/$A$3</f>
        <v>3811.2254309352602</v>
      </c>
      <c r="K57" s="16">
        <f t="shared" ref="K57:K60" si="64">H57*I57</f>
        <v>0</v>
      </c>
      <c r="L57" s="16">
        <f t="shared" ref="L57:L60" si="65">+K57/655.957</f>
        <v>0</v>
      </c>
      <c r="M57" s="16"/>
      <c r="N57" s="16" t="s">
        <v>2</v>
      </c>
      <c r="O57" s="16" t="s">
        <v>2</v>
      </c>
      <c r="P57" s="16"/>
      <c r="Q57" s="16">
        <f t="shared" si="59"/>
        <v>0</v>
      </c>
      <c r="R57" s="16">
        <f t="shared" si="60"/>
        <v>0</v>
      </c>
      <c r="S57" s="16">
        <f t="shared" si="61"/>
        <v>0</v>
      </c>
      <c r="T57" s="43"/>
    </row>
    <row r="58" spans="1:20" ht="27.95" customHeight="1">
      <c r="A58" s="66" t="s">
        <v>84</v>
      </c>
      <c r="B58" s="15" t="s">
        <v>82</v>
      </c>
      <c r="C58" s="52">
        <v>1</v>
      </c>
      <c r="D58" s="16">
        <v>2500000</v>
      </c>
      <c r="E58" s="52">
        <f>D58/$A$3</f>
        <v>3811.2254309352597</v>
      </c>
      <c r="F58" s="16">
        <f t="shared" si="62"/>
        <v>2500000</v>
      </c>
      <c r="G58" s="16">
        <f t="shared" si="63"/>
        <v>3811.2254309352597</v>
      </c>
      <c r="H58" s="52">
        <v>0</v>
      </c>
      <c r="I58" s="16">
        <v>2500000</v>
      </c>
      <c r="J58" s="52">
        <f>I58/$A$3</f>
        <v>3811.2254309352597</v>
      </c>
      <c r="K58" s="16">
        <f t="shared" si="64"/>
        <v>0</v>
      </c>
      <c r="L58" s="16">
        <f t="shared" si="65"/>
        <v>0</v>
      </c>
      <c r="M58" s="16"/>
      <c r="N58" s="16">
        <f t="shared" ref="N58:N64" si="66">+K58</f>
        <v>0</v>
      </c>
      <c r="O58" s="16"/>
      <c r="P58" s="16"/>
      <c r="Q58" s="16">
        <f t="shared" si="59"/>
        <v>0</v>
      </c>
      <c r="R58" s="16">
        <f t="shared" si="60"/>
        <v>0</v>
      </c>
      <c r="S58" s="16">
        <f t="shared" si="61"/>
        <v>0</v>
      </c>
      <c r="T58" s="43" t="e">
        <f>+P58/K58</f>
        <v>#DIV/0!</v>
      </c>
    </row>
    <row r="59" spans="1:20" ht="27.95" customHeight="1">
      <c r="A59" s="66" t="s">
        <v>85</v>
      </c>
      <c r="B59" s="15" t="s">
        <v>86</v>
      </c>
      <c r="C59" s="52">
        <v>1</v>
      </c>
      <c r="D59" s="16">
        <v>15000000</v>
      </c>
      <c r="E59" s="52">
        <f>D59/$A$3</f>
        <v>22867.352585611556</v>
      </c>
      <c r="F59" s="16">
        <f t="shared" si="62"/>
        <v>15000000</v>
      </c>
      <c r="G59" s="16">
        <f t="shared" si="63"/>
        <v>22867.352585611556</v>
      </c>
      <c r="H59" s="52">
        <v>0</v>
      </c>
      <c r="I59" s="16">
        <v>15000000</v>
      </c>
      <c r="J59" s="52">
        <f>I59/$A$3</f>
        <v>22867.352585611556</v>
      </c>
      <c r="K59" s="16">
        <f t="shared" si="64"/>
        <v>0</v>
      </c>
      <c r="L59" s="16">
        <f t="shared" si="65"/>
        <v>0</v>
      </c>
      <c r="M59" s="16"/>
      <c r="N59" s="16">
        <f t="shared" si="66"/>
        <v>0</v>
      </c>
      <c r="O59" s="16"/>
      <c r="P59" s="16"/>
      <c r="Q59" s="16">
        <f t="shared" si="59"/>
        <v>0</v>
      </c>
      <c r="R59" s="16">
        <f t="shared" si="60"/>
        <v>0</v>
      </c>
      <c r="S59" s="16">
        <f t="shared" si="61"/>
        <v>0</v>
      </c>
      <c r="T59" s="43"/>
    </row>
    <row r="60" spans="1:20" s="28" customFormat="1" ht="27.95" customHeight="1">
      <c r="A60" s="67" t="s">
        <v>87</v>
      </c>
      <c r="B60" s="26" t="s">
        <v>88</v>
      </c>
      <c r="C60" s="27">
        <v>1</v>
      </c>
      <c r="D60" s="27">
        <v>5200000</v>
      </c>
      <c r="E60" s="27">
        <f>D60/$A$3</f>
        <v>7927.3488963453401</v>
      </c>
      <c r="F60" s="27">
        <f t="shared" si="62"/>
        <v>5200000</v>
      </c>
      <c r="G60" s="27">
        <f t="shared" si="63"/>
        <v>7927.3488963453401</v>
      </c>
      <c r="H60" s="27">
        <v>0</v>
      </c>
      <c r="I60" s="27">
        <v>5200000</v>
      </c>
      <c r="J60" s="27">
        <f>I60/$A$3</f>
        <v>7927.3488963453401</v>
      </c>
      <c r="K60" s="27">
        <f t="shared" si="64"/>
        <v>0</v>
      </c>
      <c r="L60" s="27">
        <f t="shared" si="65"/>
        <v>0</v>
      </c>
      <c r="M60" s="27"/>
      <c r="N60" s="16">
        <f t="shared" si="66"/>
        <v>0</v>
      </c>
      <c r="O60" s="27"/>
      <c r="P60" s="27"/>
      <c r="Q60" s="16">
        <f t="shared" si="59"/>
        <v>0</v>
      </c>
      <c r="R60" s="16">
        <f t="shared" si="60"/>
        <v>0</v>
      </c>
      <c r="S60" s="16">
        <f t="shared" si="61"/>
        <v>0</v>
      </c>
      <c r="T60" s="43" t="e">
        <f>+P60/K60</f>
        <v>#DIV/0!</v>
      </c>
    </row>
    <row r="61" spans="1:20" ht="27.95" customHeight="1">
      <c r="A61" s="66" t="s">
        <v>89</v>
      </c>
      <c r="B61" s="15"/>
      <c r="C61" s="52"/>
      <c r="D61" s="16"/>
      <c r="E61" s="52"/>
      <c r="F61" s="16"/>
      <c r="G61" s="16"/>
      <c r="H61" s="52"/>
      <c r="I61" s="16"/>
      <c r="J61" s="52"/>
      <c r="K61" s="16"/>
      <c r="L61" s="16"/>
      <c r="M61" s="16"/>
      <c r="N61" s="16">
        <f t="shared" si="66"/>
        <v>0</v>
      </c>
      <c r="O61" s="16"/>
      <c r="P61" s="16"/>
      <c r="Q61" s="16">
        <f t="shared" si="59"/>
        <v>0</v>
      </c>
      <c r="R61" s="16">
        <f t="shared" si="60"/>
        <v>0</v>
      </c>
      <c r="S61" s="16">
        <f t="shared" si="61"/>
        <v>0</v>
      </c>
      <c r="T61" s="43"/>
    </row>
    <row r="62" spans="1:20" ht="27.95" customHeight="1">
      <c r="A62" s="66" t="s">
        <v>90</v>
      </c>
      <c r="B62" s="15" t="s">
        <v>82</v>
      </c>
      <c r="C62" s="52">
        <v>4</v>
      </c>
      <c r="D62" s="16">
        <v>1500000</v>
      </c>
      <c r="E62" s="52">
        <f t="shared" ref="E62:E70" si="67">D62/$A$3</f>
        <v>2286.7352585611557</v>
      </c>
      <c r="F62" s="16">
        <f t="shared" si="62"/>
        <v>6000000</v>
      </c>
      <c r="G62" s="16">
        <f t="shared" si="63"/>
        <v>9146.9410342446226</v>
      </c>
      <c r="H62" s="52">
        <v>1</v>
      </c>
      <c r="I62" s="16">
        <v>1500000</v>
      </c>
      <c r="J62" s="52">
        <f t="shared" ref="J62:J70" si="68">I62/$A$3</f>
        <v>2286.7352585611557</v>
      </c>
      <c r="K62" s="16">
        <f t="shared" ref="K62:K65" si="69">H62*I62</f>
        <v>1500000</v>
      </c>
      <c r="L62" s="16">
        <f t="shared" ref="L62:L70" si="70">+K62/655.957</f>
        <v>2286.7352585611557</v>
      </c>
      <c r="M62" s="16"/>
      <c r="N62" s="16">
        <f t="shared" si="66"/>
        <v>1500000</v>
      </c>
      <c r="O62" s="16"/>
      <c r="P62" s="16">
        <v>1250000</v>
      </c>
      <c r="Q62" s="16">
        <f t="shared" si="59"/>
        <v>1905.6127154676299</v>
      </c>
      <c r="R62" s="16">
        <f t="shared" si="60"/>
        <v>250000</v>
      </c>
      <c r="S62" s="16">
        <f t="shared" si="61"/>
        <v>381.12254309352596</v>
      </c>
      <c r="T62" s="43">
        <f>+P62/K62</f>
        <v>0.83333333333333337</v>
      </c>
    </row>
    <row r="63" spans="1:20" ht="27.95" customHeight="1">
      <c r="A63" s="66" t="s">
        <v>91</v>
      </c>
      <c r="B63" s="15" t="s">
        <v>82</v>
      </c>
      <c r="C63" s="52">
        <v>4</v>
      </c>
      <c r="D63" s="16">
        <v>1800000</v>
      </c>
      <c r="E63" s="52">
        <f t="shared" si="67"/>
        <v>2744.0823102733871</v>
      </c>
      <c r="F63" s="16">
        <f t="shared" si="62"/>
        <v>7200000</v>
      </c>
      <c r="G63" s="16">
        <f t="shared" si="63"/>
        <v>10976.329241093548</v>
      </c>
      <c r="H63" s="52">
        <v>1</v>
      </c>
      <c r="I63" s="16">
        <v>1800000</v>
      </c>
      <c r="J63" s="52">
        <f t="shared" si="68"/>
        <v>2744.0823102733871</v>
      </c>
      <c r="K63" s="16">
        <f t="shared" si="69"/>
        <v>1800000</v>
      </c>
      <c r="L63" s="16">
        <f t="shared" si="70"/>
        <v>2744.0823102733871</v>
      </c>
      <c r="M63" s="16"/>
      <c r="N63" s="16">
        <f t="shared" si="66"/>
        <v>1800000</v>
      </c>
      <c r="O63" s="16"/>
      <c r="P63" s="16">
        <v>1459753</v>
      </c>
      <c r="Q63" s="16">
        <f t="shared" si="59"/>
        <v>2225.3791025936152</v>
      </c>
      <c r="R63" s="16">
        <f t="shared" si="60"/>
        <v>340247</v>
      </c>
      <c r="S63" s="16">
        <f t="shared" si="61"/>
        <v>518.70320767977171</v>
      </c>
      <c r="T63" s="43">
        <f>+P63/K63</f>
        <v>0.81097388888888888</v>
      </c>
    </row>
    <row r="64" spans="1:20" ht="27.95" customHeight="1">
      <c r="A64" s="66" t="s">
        <v>92</v>
      </c>
      <c r="B64" s="15" t="s">
        <v>82</v>
      </c>
      <c r="C64" s="52">
        <v>8</v>
      </c>
      <c r="D64" s="16">
        <v>1500000</v>
      </c>
      <c r="E64" s="52">
        <f t="shared" si="67"/>
        <v>2286.7352585611557</v>
      </c>
      <c r="F64" s="16">
        <f t="shared" si="62"/>
        <v>12000000</v>
      </c>
      <c r="G64" s="16">
        <f t="shared" si="63"/>
        <v>18293.882068489245</v>
      </c>
      <c r="H64" s="52">
        <v>2</v>
      </c>
      <c r="I64" s="16">
        <v>1500000</v>
      </c>
      <c r="J64" s="52">
        <f t="shared" si="68"/>
        <v>2286.7352585611557</v>
      </c>
      <c r="K64" s="16">
        <f t="shared" si="69"/>
        <v>3000000</v>
      </c>
      <c r="L64" s="16">
        <f t="shared" si="70"/>
        <v>4573.4705171223113</v>
      </c>
      <c r="M64" s="16"/>
      <c r="N64" s="16">
        <f t="shared" si="66"/>
        <v>3000000</v>
      </c>
      <c r="O64" s="16"/>
      <c r="P64" s="16">
        <v>2755800</v>
      </c>
      <c r="Q64" s="16">
        <f t="shared" si="59"/>
        <v>4201.1900170285553</v>
      </c>
      <c r="R64" s="16">
        <f t="shared" si="60"/>
        <v>244200</v>
      </c>
      <c r="S64" s="16">
        <f t="shared" si="61"/>
        <v>372.28050009375613</v>
      </c>
      <c r="T64" s="43">
        <f>+P64/K64</f>
        <v>0.91859999999999997</v>
      </c>
    </row>
    <row r="65" spans="1:20" ht="27.95" customHeight="1">
      <c r="A65" s="66" t="s">
        <v>93</v>
      </c>
      <c r="B65" s="15" t="s">
        <v>94</v>
      </c>
      <c r="C65" s="52">
        <v>10</v>
      </c>
      <c r="D65" s="16">
        <v>2000000</v>
      </c>
      <c r="E65" s="52">
        <f t="shared" si="67"/>
        <v>3048.9803447482077</v>
      </c>
      <c r="F65" s="16">
        <f t="shared" si="62"/>
        <v>20000000</v>
      </c>
      <c r="G65" s="16">
        <f t="shared" si="63"/>
        <v>30489.803447482078</v>
      </c>
      <c r="H65" s="52">
        <v>2</v>
      </c>
      <c r="I65" s="16">
        <v>2000000</v>
      </c>
      <c r="J65" s="52">
        <f t="shared" si="68"/>
        <v>3048.9803447482077</v>
      </c>
      <c r="K65" s="16">
        <f t="shared" si="69"/>
        <v>4000000</v>
      </c>
      <c r="L65" s="16">
        <f t="shared" si="70"/>
        <v>6097.9606894964154</v>
      </c>
      <c r="M65" s="16">
        <f>+K65</f>
        <v>4000000</v>
      </c>
      <c r="N65" s="16">
        <v>0</v>
      </c>
      <c r="O65" s="16"/>
      <c r="P65" s="82">
        <f>2900510.6626+1000000</f>
        <v>3900510.6625999999</v>
      </c>
      <c r="Q65" s="16">
        <f t="shared" si="59"/>
        <v>5946.2901723741033</v>
      </c>
      <c r="R65" s="16">
        <f t="shared" si="60"/>
        <v>99489.337400000077</v>
      </c>
      <c r="S65" s="16">
        <f t="shared" si="61"/>
        <v>151.67051712231148</v>
      </c>
      <c r="T65" s="43">
        <f>+P65/K65</f>
        <v>0.97512766564999998</v>
      </c>
    </row>
    <row r="66" spans="1:20" ht="27.95" customHeight="1">
      <c r="A66" s="66" t="s">
        <v>95</v>
      </c>
      <c r="B66" s="15" t="s">
        <v>86</v>
      </c>
      <c r="C66" s="52"/>
      <c r="D66" s="16"/>
      <c r="E66" s="52">
        <f t="shared" si="67"/>
        <v>0</v>
      </c>
      <c r="F66" s="16"/>
      <c r="G66" s="16">
        <f t="shared" si="63"/>
        <v>0</v>
      </c>
      <c r="H66" s="52"/>
      <c r="I66" s="16"/>
      <c r="J66" s="52">
        <f t="shared" si="68"/>
        <v>0</v>
      </c>
      <c r="K66" s="16"/>
      <c r="L66" s="16">
        <f t="shared" si="70"/>
        <v>0</v>
      </c>
      <c r="M66" s="16"/>
      <c r="N66" s="16">
        <f>+K66</f>
        <v>0</v>
      </c>
      <c r="O66" s="16"/>
      <c r="P66" s="16"/>
      <c r="Q66" s="16">
        <f t="shared" si="59"/>
        <v>0</v>
      </c>
      <c r="R66" s="16">
        <f t="shared" si="60"/>
        <v>0</v>
      </c>
      <c r="S66" s="16">
        <f t="shared" si="61"/>
        <v>0</v>
      </c>
      <c r="T66" s="43"/>
    </row>
    <row r="67" spans="1:20" ht="27.95" customHeight="1">
      <c r="A67" s="66" t="s">
        <v>96</v>
      </c>
      <c r="B67" s="15" t="s">
        <v>86</v>
      </c>
      <c r="C67" s="52">
        <v>1</v>
      </c>
      <c r="D67" s="16">
        <v>4000000</v>
      </c>
      <c r="E67" s="52">
        <f t="shared" si="67"/>
        <v>6097.9606894964154</v>
      </c>
      <c r="F67" s="16">
        <f t="shared" ref="F67:F68" si="71">C67*D67</f>
        <v>4000000</v>
      </c>
      <c r="G67" s="16">
        <f t="shared" si="63"/>
        <v>6097.9606894964154</v>
      </c>
      <c r="H67" s="52">
        <v>0</v>
      </c>
      <c r="I67" s="16">
        <v>4000000</v>
      </c>
      <c r="J67" s="52">
        <f t="shared" si="68"/>
        <v>6097.9606894964154</v>
      </c>
      <c r="K67" s="16">
        <f t="shared" ref="K67:K70" si="72">H67*I67</f>
        <v>0</v>
      </c>
      <c r="L67" s="16">
        <f t="shared" si="70"/>
        <v>0</v>
      </c>
      <c r="M67" s="16"/>
      <c r="N67" s="16">
        <f>+K67</f>
        <v>0</v>
      </c>
      <c r="O67" s="16"/>
      <c r="P67" s="16"/>
      <c r="Q67" s="16">
        <f t="shared" si="59"/>
        <v>0</v>
      </c>
      <c r="R67" s="16">
        <f t="shared" si="60"/>
        <v>0</v>
      </c>
      <c r="S67" s="16">
        <f t="shared" si="61"/>
        <v>0</v>
      </c>
      <c r="T67" s="43" t="e">
        <f>+P67/K67</f>
        <v>#DIV/0!</v>
      </c>
    </row>
    <row r="68" spans="1:20" ht="27.95" customHeight="1">
      <c r="A68" s="66" t="s">
        <v>97</v>
      </c>
      <c r="B68" s="15" t="s">
        <v>86</v>
      </c>
      <c r="C68" s="52">
        <v>1</v>
      </c>
      <c r="D68" s="16">
        <v>10000000</v>
      </c>
      <c r="E68" s="52">
        <f t="shared" si="67"/>
        <v>15244.901723741039</v>
      </c>
      <c r="F68" s="16">
        <f t="shared" si="71"/>
        <v>10000000</v>
      </c>
      <c r="G68" s="16">
        <f t="shared" si="63"/>
        <v>15244.901723741039</v>
      </c>
      <c r="H68" s="52">
        <v>0</v>
      </c>
      <c r="I68" s="16">
        <v>10000000</v>
      </c>
      <c r="J68" s="52">
        <f t="shared" si="68"/>
        <v>15244.901723741039</v>
      </c>
      <c r="K68" s="16">
        <f t="shared" si="72"/>
        <v>0</v>
      </c>
      <c r="L68" s="16">
        <f t="shared" si="70"/>
        <v>0</v>
      </c>
      <c r="M68" s="16"/>
      <c r="N68" s="16">
        <f>+K68</f>
        <v>0</v>
      </c>
      <c r="O68" s="16"/>
      <c r="P68" s="16"/>
      <c r="Q68" s="16">
        <f t="shared" si="59"/>
        <v>0</v>
      </c>
      <c r="R68" s="16">
        <f t="shared" si="60"/>
        <v>0</v>
      </c>
      <c r="S68" s="16">
        <f t="shared" si="61"/>
        <v>0</v>
      </c>
      <c r="T68" s="43"/>
    </row>
    <row r="69" spans="1:20" ht="27.95" customHeight="1">
      <c r="A69" s="66" t="s">
        <v>98</v>
      </c>
      <c r="B69" s="15" t="s">
        <v>88</v>
      </c>
      <c r="C69" s="52">
        <v>1</v>
      </c>
      <c r="D69" s="16">
        <v>7000000</v>
      </c>
      <c r="E69" s="52">
        <f t="shared" si="67"/>
        <v>10671.431206618727</v>
      </c>
      <c r="F69" s="16">
        <f t="shared" si="62"/>
        <v>7000000</v>
      </c>
      <c r="G69" s="16">
        <f t="shared" si="63"/>
        <v>10671.431206618727</v>
      </c>
      <c r="H69" s="52">
        <v>0</v>
      </c>
      <c r="I69" s="16">
        <v>7000000</v>
      </c>
      <c r="J69" s="52">
        <f t="shared" si="68"/>
        <v>10671.431206618727</v>
      </c>
      <c r="K69" s="16">
        <f t="shared" si="72"/>
        <v>0</v>
      </c>
      <c r="L69" s="16">
        <f t="shared" si="70"/>
        <v>0</v>
      </c>
      <c r="M69" s="16"/>
      <c r="N69" s="16">
        <f>+K69</f>
        <v>0</v>
      </c>
      <c r="O69" s="16"/>
      <c r="P69" s="16"/>
      <c r="Q69" s="16">
        <f t="shared" si="59"/>
        <v>0</v>
      </c>
      <c r="R69" s="16">
        <f t="shared" si="60"/>
        <v>0</v>
      </c>
      <c r="S69" s="16">
        <f t="shared" si="61"/>
        <v>0</v>
      </c>
      <c r="T69" s="43">
        <f>SUM(T68)</f>
        <v>0</v>
      </c>
    </row>
    <row r="70" spans="1:20" ht="27.95" customHeight="1">
      <c r="A70" s="66" t="s">
        <v>99</v>
      </c>
      <c r="B70" s="15" t="s">
        <v>70</v>
      </c>
      <c r="C70" s="52">
        <v>5</v>
      </c>
      <c r="D70" s="52">
        <v>3000000</v>
      </c>
      <c r="E70" s="52">
        <f t="shared" si="67"/>
        <v>4573.4705171223113</v>
      </c>
      <c r="F70" s="16">
        <f t="shared" si="62"/>
        <v>15000000</v>
      </c>
      <c r="G70" s="16">
        <f t="shared" si="63"/>
        <v>22867.352585611556</v>
      </c>
      <c r="H70" s="52">
        <v>1</v>
      </c>
      <c r="I70" s="52">
        <v>3000000</v>
      </c>
      <c r="J70" s="52">
        <f t="shared" si="68"/>
        <v>4573.4705171223113</v>
      </c>
      <c r="K70" s="16">
        <f t="shared" si="72"/>
        <v>3000000</v>
      </c>
      <c r="L70" s="16">
        <f t="shared" si="70"/>
        <v>4573.4705171223113</v>
      </c>
      <c r="M70" s="16"/>
      <c r="N70" s="16">
        <f>+K70</f>
        <v>3000000</v>
      </c>
      <c r="O70" s="16"/>
      <c r="P70" s="16">
        <f>2880000+78715</f>
        <v>2958715</v>
      </c>
      <c r="Q70" s="16">
        <f t="shared" si="59"/>
        <v>4510.5319403558469</v>
      </c>
      <c r="R70" s="16">
        <f t="shared" si="60"/>
        <v>41285</v>
      </c>
      <c r="S70" s="16">
        <f t="shared" si="61"/>
        <v>62.938576766464877</v>
      </c>
      <c r="T70" s="43">
        <f>SUM(T69)</f>
        <v>0</v>
      </c>
    </row>
    <row r="71" spans="1:20" ht="27.95" customHeight="1" collapsed="1">
      <c r="A71" s="68" t="s">
        <v>100</v>
      </c>
      <c r="B71" s="51"/>
      <c r="C71" s="17"/>
      <c r="D71" s="17"/>
      <c r="E71" s="17"/>
      <c r="F71" s="18">
        <f>SUM(F56:F70)</f>
        <v>116400000</v>
      </c>
      <c r="G71" s="18">
        <f>SUM(G56:G70)</f>
        <v>177450.65606434568</v>
      </c>
      <c r="H71" s="18">
        <f t="shared" ref="H71:S71" si="73">SUM(H56:H70)</f>
        <v>7</v>
      </c>
      <c r="I71" s="18">
        <f t="shared" si="73"/>
        <v>66000000</v>
      </c>
      <c r="J71" s="18">
        <f t="shared" si="73"/>
        <v>100616.35137669087</v>
      </c>
      <c r="K71" s="18">
        <f>SUM(K56:K70)</f>
        <v>13300000</v>
      </c>
      <c r="L71" s="18">
        <f t="shared" si="73"/>
        <v>20275.719292575581</v>
      </c>
      <c r="M71" s="18">
        <f t="shared" si="73"/>
        <v>4000000</v>
      </c>
      <c r="N71" s="18">
        <f t="shared" si="73"/>
        <v>9300000</v>
      </c>
      <c r="O71" s="18">
        <f t="shared" si="73"/>
        <v>0</v>
      </c>
      <c r="P71" s="18">
        <f>SUM(P56:P70)</f>
        <v>12324778.662599999</v>
      </c>
      <c r="Q71" s="18">
        <f t="shared" si="73"/>
        <v>18789.00394781975</v>
      </c>
      <c r="R71" s="18">
        <f t="shared" si="73"/>
        <v>975221.33740000008</v>
      </c>
      <c r="S71" s="18">
        <f t="shared" si="73"/>
        <v>1486.7153447558303</v>
      </c>
      <c r="T71" s="47"/>
    </row>
    <row r="72" spans="1:20" ht="27.6" customHeight="1">
      <c r="A72" s="56" t="s">
        <v>101</v>
      </c>
      <c r="B72" s="15"/>
      <c r="C72" s="52"/>
      <c r="D72" s="52"/>
      <c r="E72" s="52"/>
      <c r="F72" s="16"/>
      <c r="G72" s="16"/>
      <c r="H72" s="52"/>
      <c r="I72" s="52"/>
      <c r="J72" s="52"/>
      <c r="K72" s="16"/>
      <c r="L72" s="16"/>
      <c r="M72" s="16"/>
      <c r="N72" s="16"/>
      <c r="O72" s="16"/>
      <c r="P72" s="16"/>
      <c r="Q72" s="82"/>
      <c r="R72" s="82"/>
      <c r="S72" s="82"/>
      <c r="T72" s="86"/>
    </row>
    <row r="73" spans="1:20" s="31" customFormat="1" ht="27.6" customHeight="1">
      <c r="A73" s="56" t="s">
        <v>102</v>
      </c>
      <c r="B73" s="29"/>
      <c r="C73" s="30"/>
      <c r="D73" s="30"/>
      <c r="E73" s="30"/>
      <c r="F73" s="30">
        <f>SUM(F74:F76)</f>
        <v>50000000</v>
      </c>
      <c r="G73" s="30">
        <f>SUM(G74:G76)</f>
        <v>76224.508618705178</v>
      </c>
      <c r="H73" s="30"/>
      <c r="I73" s="30"/>
      <c r="J73" s="30"/>
      <c r="K73" s="30">
        <f>SUM(K74:K76)</f>
        <v>3000000</v>
      </c>
      <c r="L73" s="30">
        <f t="shared" ref="L73:S73" si="74">SUM(L74:L76)</f>
        <v>4573.4705171223113</v>
      </c>
      <c r="M73" s="30">
        <f t="shared" si="74"/>
        <v>0</v>
      </c>
      <c r="N73" s="30">
        <f t="shared" si="74"/>
        <v>3000000</v>
      </c>
      <c r="O73" s="30">
        <f t="shared" si="74"/>
        <v>0</v>
      </c>
      <c r="P73" s="30">
        <f>SUM(P74:P76)</f>
        <v>2972500</v>
      </c>
      <c r="Q73" s="30">
        <f t="shared" si="74"/>
        <v>4531.5470373820235</v>
      </c>
      <c r="R73" s="30">
        <f t="shared" si="74"/>
        <v>27500</v>
      </c>
      <c r="S73" s="30">
        <f t="shared" si="74"/>
        <v>41.923479740287853</v>
      </c>
      <c r="T73" s="43">
        <f t="shared" ref="T73:T81" si="75">+P73/K73</f>
        <v>0.99083333333333334</v>
      </c>
    </row>
    <row r="74" spans="1:20" s="35" customFormat="1" ht="27.6" customHeight="1">
      <c r="A74" s="69" t="s">
        <v>102</v>
      </c>
      <c r="B74" s="26" t="s">
        <v>88</v>
      </c>
      <c r="C74" s="33">
        <v>1</v>
      </c>
      <c r="D74" s="33">
        <v>8000000</v>
      </c>
      <c r="E74" s="33">
        <f>D74/$A$3</f>
        <v>12195.921378992831</v>
      </c>
      <c r="F74" s="33">
        <f t="shared" ref="F74:F95" si="76">C74*D74</f>
        <v>8000000</v>
      </c>
      <c r="G74" s="33">
        <f t="shared" ref="G74:G95" si="77">+F74/655.957</f>
        <v>12195.921378992831</v>
      </c>
      <c r="H74" s="33">
        <v>0</v>
      </c>
      <c r="I74" s="33">
        <v>8000000</v>
      </c>
      <c r="J74" s="33">
        <f>I74/$A$3</f>
        <v>12195.921378992831</v>
      </c>
      <c r="K74" s="33">
        <f t="shared" ref="K74" si="78">H74*I74</f>
        <v>0</v>
      </c>
      <c r="L74" s="33">
        <f t="shared" ref="L74:L75" si="79">+K74/655.957</f>
        <v>0</v>
      </c>
      <c r="M74" s="32"/>
      <c r="N74" s="32"/>
      <c r="O74" s="34"/>
      <c r="P74" s="33"/>
      <c r="Q74" s="16">
        <f t="shared" ref="Q74:Q94" si="80">+P74/655.957</f>
        <v>0</v>
      </c>
      <c r="R74" s="16">
        <f t="shared" ref="R74:R76" si="81">+K74-P74</f>
        <v>0</v>
      </c>
      <c r="S74" s="16">
        <f t="shared" ref="S74:S94" si="82">+R74/655.957</f>
        <v>0</v>
      </c>
      <c r="T74" s="43" t="e">
        <f t="shared" si="75"/>
        <v>#DIV/0!</v>
      </c>
    </row>
    <row r="75" spans="1:20" s="36" customFormat="1" ht="27.6" customHeight="1">
      <c r="A75" s="69" t="s">
        <v>103</v>
      </c>
      <c r="B75" s="26" t="s">
        <v>88</v>
      </c>
      <c r="C75" s="33">
        <v>2</v>
      </c>
      <c r="D75" s="33">
        <v>6000000</v>
      </c>
      <c r="E75" s="33">
        <f>D75/$A$3</f>
        <v>9146.9410342446226</v>
      </c>
      <c r="F75" s="33">
        <f t="shared" si="76"/>
        <v>12000000</v>
      </c>
      <c r="G75" s="33">
        <f t="shared" si="77"/>
        <v>18293.882068489245</v>
      </c>
      <c r="H75" s="33">
        <v>0</v>
      </c>
      <c r="I75" s="33">
        <v>6000000</v>
      </c>
      <c r="J75" s="33">
        <f>I75/$A$3</f>
        <v>9146.9410342446226</v>
      </c>
      <c r="K75" s="33">
        <f>H75*I75</f>
        <v>0</v>
      </c>
      <c r="L75" s="33">
        <f t="shared" si="79"/>
        <v>0</v>
      </c>
      <c r="M75" s="34"/>
      <c r="N75" s="34"/>
      <c r="O75" s="34">
        <f>+K75</f>
        <v>0</v>
      </c>
      <c r="P75" s="33"/>
      <c r="Q75" s="16">
        <f t="shared" si="80"/>
        <v>0</v>
      </c>
      <c r="R75" s="16">
        <f t="shared" si="81"/>
        <v>0</v>
      </c>
      <c r="S75" s="16">
        <f t="shared" si="82"/>
        <v>0</v>
      </c>
      <c r="T75" s="43" t="e">
        <f t="shared" si="75"/>
        <v>#DIV/0!</v>
      </c>
    </row>
    <row r="76" spans="1:20" s="36" customFormat="1" ht="27.6" customHeight="1">
      <c r="A76" s="69" t="s">
        <v>104</v>
      </c>
      <c r="B76" s="26" t="s">
        <v>88</v>
      </c>
      <c r="C76" s="33">
        <v>1</v>
      </c>
      <c r="D76" s="33">
        <v>30000000</v>
      </c>
      <c r="E76" s="33">
        <f>D76/$A$3</f>
        <v>45734.705171223111</v>
      </c>
      <c r="F76" s="33">
        <f t="shared" si="76"/>
        <v>30000000</v>
      </c>
      <c r="G76" s="33">
        <f>+F76/655.957</f>
        <v>45734.705171223111</v>
      </c>
      <c r="H76" s="33">
        <v>1</v>
      </c>
      <c r="I76" s="33">
        <v>3000000</v>
      </c>
      <c r="J76" s="33">
        <f>I76/$A$3</f>
        <v>4573.4705171223113</v>
      </c>
      <c r="K76" s="33">
        <f>H76*I76</f>
        <v>3000000</v>
      </c>
      <c r="L76" s="33">
        <f>+K76/655.957</f>
        <v>4573.4705171223113</v>
      </c>
      <c r="M76" s="34"/>
      <c r="N76" s="34">
        <f>+K76</f>
        <v>3000000</v>
      </c>
      <c r="O76" s="34"/>
      <c r="P76" s="33">
        <v>2972500</v>
      </c>
      <c r="Q76" s="16">
        <f t="shared" si="80"/>
        <v>4531.5470373820235</v>
      </c>
      <c r="R76" s="16">
        <f t="shared" si="81"/>
        <v>27500</v>
      </c>
      <c r="S76" s="16">
        <f t="shared" si="82"/>
        <v>41.923479740287853</v>
      </c>
      <c r="T76" s="43">
        <f t="shared" si="75"/>
        <v>0.99083333333333334</v>
      </c>
    </row>
    <row r="77" spans="1:20" s="31" customFormat="1" ht="39" customHeight="1" collapsed="1">
      <c r="A77" s="56" t="s">
        <v>105</v>
      </c>
      <c r="B77" s="29"/>
      <c r="C77" s="30"/>
      <c r="D77" s="30" t="s">
        <v>2</v>
      </c>
      <c r="E77" s="30"/>
      <c r="F77" s="30">
        <f>SUM(F78:F79)</f>
        <v>13530590</v>
      </c>
      <c r="G77" s="30">
        <f>SUM(G78:G79)</f>
        <v>20627.251481423325</v>
      </c>
      <c r="H77" s="30">
        <f t="shared" ref="H77:S77" si="83">SUM(H78:H79)</f>
        <v>1</v>
      </c>
      <c r="I77" s="30">
        <f t="shared" si="83"/>
        <v>13530590</v>
      </c>
      <c r="J77" s="30">
        <f t="shared" si="83"/>
        <v>20627.251481423325</v>
      </c>
      <c r="K77" s="30">
        <f>SUM(K78:K79)</f>
        <v>4000000</v>
      </c>
      <c r="L77" s="30">
        <f>SUM(L78:L79)</f>
        <v>6097.9606894964154</v>
      </c>
      <c r="M77" s="30">
        <f t="shared" ref="M77:O77" si="84">SUM(M78:M79)</f>
        <v>0</v>
      </c>
      <c r="N77" s="30">
        <f t="shared" si="84"/>
        <v>4000000</v>
      </c>
      <c r="O77" s="30">
        <f t="shared" si="84"/>
        <v>0</v>
      </c>
      <c r="P77" s="30">
        <f>SUM(P78:P79)</f>
        <v>3663000</v>
      </c>
      <c r="Q77" s="30">
        <f t="shared" si="83"/>
        <v>5584.2075014063421</v>
      </c>
      <c r="R77" s="30">
        <f t="shared" si="83"/>
        <v>337000</v>
      </c>
      <c r="S77" s="30">
        <f t="shared" si="83"/>
        <v>513.75318809007297</v>
      </c>
      <c r="T77" s="43">
        <f t="shared" si="75"/>
        <v>0.91574999999999995</v>
      </c>
    </row>
    <row r="78" spans="1:20" s="35" customFormat="1" ht="39" customHeight="1">
      <c r="A78" s="69" t="s">
        <v>105</v>
      </c>
      <c r="B78" s="33" t="s">
        <v>88</v>
      </c>
      <c r="C78" s="33">
        <v>1</v>
      </c>
      <c r="D78" s="33">
        <v>9530590</v>
      </c>
      <c r="E78" s="33">
        <f>D78/$A$3</f>
        <v>14529.290791926909</v>
      </c>
      <c r="F78" s="33">
        <f t="shared" ref="F78" si="85">+E78*655.957</f>
        <v>9530590</v>
      </c>
      <c r="G78" s="33">
        <f>+F78/655.957</f>
        <v>14529.290791926909</v>
      </c>
      <c r="H78" s="33">
        <v>0</v>
      </c>
      <c r="I78" s="33">
        <v>9530590</v>
      </c>
      <c r="J78" s="33">
        <f>I78/$A$3</f>
        <v>14529.290791926909</v>
      </c>
      <c r="K78" s="33">
        <f>H78*I78</f>
        <v>0</v>
      </c>
      <c r="L78" s="33">
        <f>+K78/655.957</f>
        <v>0</v>
      </c>
      <c r="M78" s="32"/>
      <c r="N78" s="33"/>
      <c r="O78" s="32"/>
      <c r="P78" s="33"/>
      <c r="Q78" s="16">
        <f t="shared" si="80"/>
        <v>0</v>
      </c>
      <c r="R78" s="16">
        <f t="shared" ref="R78:R81" si="86">+K78-P78</f>
        <v>0</v>
      </c>
      <c r="S78" s="16">
        <f t="shared" si="82"/>
        <v>0</v>
      </c>
      <c r="T78" s="43" t="e">
        <f t="shared" si="75"/>
        <v>#DIV/0!</v>
      </c>
    </row>
    <row r="79" spans="1:20" s="37" customFormat="1" ht="27.6" customHeight="1">
      <c r="A79" s="69" t="s">
        <v>106</v>
      </c>
      <c r="B79" s="33" t="s">
        <v>88</v>
      </c>
      <c r="C79" s="33">
        <v>1</v>
      </c>
      <c r="D79" s="33">
        <v>4000000</v>
      </c>
      <c r="E79" s="33">
        <f>D79/$A$3</f>
        <v>6097.9606894964154</v>
      </c>
      <c r="F79" s="33">
        <f t="shared" si="76"/>
        <v>4000000</v>
      </c>
      <c r="G79" s="33">
        <f>+F79/655.957</f>
        <v>6097.9606894964154</v>
      </c>
      <c r="H79" s="33">
        <v>1</v>
      </c>
      <c r="I79" s="33">
        <v>4000000</v>
      </c>
      <c r="J79" s="33">
        <f>I79/$A$3</f>
        <v>6097.9606894964154</v>
      </c>
      <c r="K79" s="33">
        <f t="shared" ref="K79" si="87">H79*I79</f>
        <v>4000000</v>
      </c>
      <c r="L79" s="33">
        <f>+K79/655.957</f>
        <v>6097.9606894964154</v>
      </c>
      <c r="M79" s="33"/>
      <c r="N79" s="33">
        <f>+K79</f>
        <v>4000000</v>
      </c>
      <c r="O79" s="33"/>
      <c r="P79" s="33">
        <v>3663000</v>
      </c>
      <c r="Q79" s="16">
        <f t="shared" si="80"/>
        <v>5584.2075014063421</v>
      </c>
      <c r="R79" s="16">
        <f t="shared" si="86"/>
        <v>337000</v>
      </c>
      <c r="S79" s="16">
        <f t="shared" si="82"/>
        <v>513.75318809007297</v>
      </c>
      <c r="T79" s="43">
        <f t="shared" si="75"/>
        <v>0.91574999999999995</v>
      </c>
    </row>
    <row r="80" spans="1:20" s="31" customFormat="1" ht="41.1" customHeight="1" collapsed="1">
      <c r="A80" s="56" t="s">
        <v>107</v>
      </c>
      <c r="B80" s="29" t="s">
        <v>88</v>
      </c>
      <c r="C80" s="30">
        <v>1</v>
      </c>
      <c r="D80" s="30">
        <v>17200000</v>
      </c>
      <c r="E80" s="30">
        <f>D80/$A$3</f>
        <v>26221.230964834587</v>
      </c>
      <c r="F80" s="30">
        <f>C80*D80</f>
        <v>17200000</v>
      </c>
      <c r="G80" s="30">
        <f t="shared" si="77"/>
        <v>26221.230964834587</v>
      </c>
      <c r="H80" s="30">
        <v>0</v>
      </c>
      <c r="I80" s="30">
        <v>0</v>
      </c>
      <c r="J80" s="30">
        <v>0</v>
      </c>
      <c r="K80" s="30">
        <v>0</v>
      </c>
      <c r="L80" s="30">
        <f t="shared" ref="L80" si="88">+K80/655.957</f>
        <v>0</v>
      </c>
      <c r="M80" s="30">
        <v>0</v>
      </c>
      <c r="N80" s="30"/>
      <c r="O80" s="30"/>
      <c r="P80" s="30"/>
      <c r="Q80" s="13">
        <f t="shared" si="80"/>
        <v>0</v>
      </c>
      <c r="R80" s="16">
        <f t="shared" si="86"/>
        <v>0</v>
      </c>
      <c r="S80" s="13">
        <f t="shared" si="82"/>
        <v>0</v>
      </c>
      <c r="T80" s="46" t="e">
        <f t="shared" si="75"/>
        <v>#DIV/0!</v>
      </c>
    </row>
    <row r="81" spans="1:20" s="31" customFormat="1" ht="48.95" customHeight="1">
      <c r="A81" s="56" t="s">
        <v>108</v>
      </c>
      <c r="B81" s="29" t="s">
        <v>88</v>
      </c>
      <c r="C81" s="30">
        <v>1</v>
      </c>
      <c r="D81" s="30">
        <v>6000000</v>
      </c>
      <c r="E81" s="30">
        <f>D81/$A$3</f>
        <v>9146.9410342446226</v>
      </c>
      <c r="F81" s="30">
        <f>C81*D81</f>
        <v>6000000</v>
      </c>
      <c r="G81" s="30">
        <f>+F81/655.957</f>
        <v>9146.9410342446226</v>
      </c>
      <c r="H81" s="30">
        <v>0</v>
      </c>
      <c r="I81" s="30">
        <v>0</v>
      </c>
      <c r="J81" s="30">
        <v>0</v>
      </c>
      <c r="K81" s="30">
        <v>0</v>
      </c>
      <c r="L81" s="30">
        <v>0</v>
      </c>
      <c r="M81" s="30">
        <v>0</v>
      </c>
      <c r="N81" s="30">
        <v>0</v>
      </c>
      <c r="O81" s="30">
        <v>0</v>
      </c>
      <c r="P81" s="30">
        <v>0</v>
      </c>
      <c r="Q81" s="13">
        <f t="shared" si="80"/>
        <v>0</v>
      </c>
      <c r="R81" s="16">
        <f t="shared" si="86"/>
        <v>0</v>
      </c>
      <c r="S81" s="13">
        <f t="shared" si="82"/>
        <v>0</v>
      </c>
      <c r="T81" s="46" t="e">
        <f t="shared" si="75"/>
        <v>#DIV/0!</v>
      </c>
    </row>
    <row r="82" spans="1:20" s="31" customFormat="1" ht="27.6" customHeight="1">
      <c r="A82" s="56" t="s">
        <v>109</v>
      </c>
      <c r="B82" s="29"/>
      <c r="C82" s="30"/>
      <c r="D82" s="30"/>
      <c r="E82" s="30"/>
      <c r="F82" s="30">
        <f>SUM(F83:F89)</f>
        <v>213080000</v>
      </c>
      <c r="G82" s="30">
        <f>SUM(G83:G89)</f>
        <v>324838.36592947401</v>
      </c>
      <c r="H82" s="30">
        <f t="shared" ref="H82:Q82" si="89">SUM(H83:H89)</f>
        <v>14</v>
      </c>
      <c r="I82" s="30">
        <f>SUM(I83:I90)</f>
        <v>32738965.517241381</v>
      </c>
      <c r="J82" s="30">
        <f t="shared" si="89"/>
        <v>42287.780322858627</v>
      </c>
      <c r="K82" s="30">
        <f>SUM(K83:K90)</f>
        <v>94040000</v>
      </c>
      <c r="L82" s="30">
        <f>SUM(L83:L90)</f>
        <v>143363.0558100607</v>
      </c>
      <c r="M82" s="30">
        <f t="shared" si="89"/>
        <v>0</v>
      </c>
      <c r="N82" s="30">
        <f t="shared" si="89"/>
        <v>89040000</v>
      </c>
      <c r="O82" s="30">
        <f t="shared" si="89"/>
        <v>0</v>
      </c>
      <c r="P82" s="30">
        <f>SUM(P83:P90)</f>
        <v>98576406</v>
      </c>
      <c r="Q82" s="30">
        <f t="shared" si="89"/>
        <v>143083.16856135384</v>
      </c>
      <c r="R82" s="30">
        <f>SUM(R83:R90)</f>
        <v>-4536406</v>
      </c>
      <c r="S82" s="30">
        <f>SUM(S83:S90)</f>
        <v>-6915.7063648989188</v>
      </c>
      <c r="T82" s="43"/>
    </row>
    <row r="83" spans="1:20" s="36" customFormat="1" ht="27.6" customHeight="1">
      <c r="A83" s="69" t="s">
        <v>110</v>
      </c>
      <c r="B83" s="26" t="s">
        <v>88</v>
      </c>
      <c r="C83" s="34">
        <v>1</v>
      </c>
      <c r="D83" s="34">
        <v>500000</v>
      </c>
      <c r="E83" s="34">
        <f t="shared" ref="E83:E89" si="90">D83/$A$3</f>
        <v>762.24508618705192</v>
      </c>
      <c r="F83" s="34">
        <f t="shared" si="76"/>
        <v>500000</v>
      </c>
      <c r="G83" s="34">
        <f t="shared" si="77"/>
        <v>762.24508618705192</v>
      </c>
      <c r="H83" s="34">
        <v>0</v>
      </c>
      <c r="I83" s="34">
        <v>500000</v>
      </c>
      <c r="J83" s="34">
        <f t="shared" ref="J83:J89" si="91">I83/$A$3</f>
        <v>762.24508618705192</v>
      </c>
      <c r="K83" s="34">
        <f t="shared" ref="K83:K89" si="92">H83*I83</f>
        <v>0</v>
      </c>
      <c r="L83" s="34">
        <f t="shared" ref="L83:L89" si="93">+K83/655.957</f>
        <v>0</v>
      </c>
      <c r="M83" s="34"/>
      <c r="N83" s="34">
        <f>+K83</f>
        <v>0</v>
      </c>
      <c r="O83" s="34"/>
      <c r="P83" s="34"/>
      <c r="Q83" s="16">
        <f t="shared" si="80"/>
        <v>0</v>
      </c>
      <c r="R83" s="16">
        <f t="shared" ref="R83:R90" si="94">+K83-P83</f>
        <v>0</v>
      </c>
      <c r="S83" s="16">
        <f t="shared" si="82"/>
        <v>0</v>
      </c>
      <c r="T83" s="43" t="e">
        <f t="shared" ref="T83:T89" si="95">+P83/K83</f>
        <v>#DIV/0!</v>
      </c>
    </row>
    <row r="84" spans="1:20" s="36" customFormat="1" ht="27.6" customHeight="1">
      <c r="A84" s="69" t="s">
        <v>111</v>
      </c>
      <c r="B84" s="26" t="s">
        <v>88</v>
      </c>
      <c r="C84" s="34">
        <v>29</v>
      </c>
      <c r="D84" s="34">
        <f>31000000/29</f>
        <v>1068965.5172413792</v>
      </c>
      <c r="E84" s="34">
        <f t="shared" si="90"/>
        <v>1629.6274256412833</v>
      </c>
      <c r="F84" s="34">
        <f t="shared" si="76"/>
        <v>31000000</v>
      </c>
      <c r="G84" s="34">
        <f t="shared" si="77"/>
        <v>47259.195343597217</v>
      </c>
      <c r="H84" s="34">
        <v>0</v>
      </c>
      <c r="I84" s="34">
        <f>31000000/29</f>
        <v>1068965.5172413792</v>
      </c>
      <c r="J84" s="34">
        <f t="shared" si="91"/>
        <v>1629.6274256412833</v>
      </c>
      <c r="K84" s="34">
        <f t="shared" si="92"/>
        <v>0</v>
      </c>
      <c r="L84" s="34">
        <f t="shared" si="93"/>
        <v>0</v>
      </c>
      <c r="M84" s="34"/>
      <c r="N84" s="34">
        <f t="shared" ref="N84:N89" si="96">+K84</f>
        <v>0</v>
      </c>
      <c r="O84" s="34"/>
      <c r="P84" s="34"/>
      <c r="Q84" s="16">
        <f t="shared" si="80"/>
        <v>0</v>
      </c>
      <c r="R84" s="16">
        <f t="shared" si="94"/>
        <v>0</v>
      </c>
      <c r="S84" s="16">
        <f t="shared" si="82"/>
        <v>0</v>
      </c>
      <c r="T84" s="43" t="e">
        <f t="shared" si="95"/>
        <v>#DIV/0!</v>
      </c>
    </row>
    <row r="85" spans="1:20" s="36" customFormat="1" ht="27.6" customHeight="1">
      <c r="A85" s="69" t="s">
        <v>112</v>
      </c>
      <c r="B85" s="26" t="s">
        <v>88</v>
      </c>
      <c r="C85" s="34">
        <v>1</v>
      </c>
      <c r="D85" s="34">
        <v>7000000</v>
      </c>
      <c r="E85" s="34">
        <f t="shared" si="90"/>
        <v>10671.431206618727</v>
      </c>
      <c r="F85" s="34">
        <f t="shared" si="76"/>
        <v>7000000</v>
      </c>
      <c r="G85" s="34">
        <f t="shared" si="77"/>
        <v>10671.431206618727</v>
      </c>
      <c r="H85" s="34">
        <v>0</v>
      </c>
      <c r="I85" s="34">
        <v>7000000</v>
      </c>
      <c r="J85" s="34">
        <f t="shared" si="91"/>
        <v>10671.431206618727</v>
      </c>
      <c r="K85" s="34">
        <f t="shared" si="92"/>
        <v>0</v>
      </c>
      <c r="L85" s="34">
        <f t="shared" si="93"/>
        <v>0</v>
      </c>
      <c r="M85" s="34"/>
      <c r="N85" s="34">
        <f t="shared" si="96"/>
        <v>0</v>
      </c>
      <c r="O85" s="34"/>
      <c r="P85" s="34">
        <v>0</v>
      </c>
      <c r="Q85" s="16">
        <f t="shared" si="80"/>
        <v>0</v>
      </c>
      <c r="R85" s="16">
        <f t="shared" si="94"/>
        <v>0</v>
      </c>
      <c r="S85" s="16">
        <f t="shared" si="82"/>
        <v>0</v>
      </c>
      <c r="T85" s="43" t="e">
        <f t="shared" si="95"/>
        <v>#DIV/0!</v>
      </c>
    </row>
    <row r="86" spans="1:20" s="36" customFormat="1" ht="27.6" customHeight="1">
      <c r="A86" s="69" t="s">
        <v>113</v>
      </c>
      <c r="B86" s="26" t="s">
        <v>88</v>
      </c>
      <c r="C86" s="34">
        <v>1</v>
      </c>
      <c r="D86" s="34">
        <v>3500000</v>
      </c>
      <c r="E86" s="34">
        <f t="shared" si="90"/>
        <v>5335.7156033093634</v>
      </c>
      <c r="F86" s="34">
        <f t="shared" si="76"/>
        <v>3500000</v>
      </c>
      <c r="G86" s="34">
        <f t="shared" si="77"/>
        <v>5335.7156033093634</v>
      </c>
      <c r="H86" s="34">
        <v>0</v>
      </c>
      <c r="I86" s="34">
        <v>3500000</v>
      </c>
      <c r="J86" s="34">
        <f t="shared" si="91"/>
        <v>5335.7156033093634</v>
      </c>
      <c r="K86" s="34">
        <f t="shared" si="92"/>
        <v>0</v>
      </c>
      <c r="L86" s="34">
        <f t="shared" si="93"/>
        <v>0</v>
      </c>
      <c r="M86" s="34"/>
      <c r="N86" s="34">
        <f t="shared" si="96"/>
        <v>0</v>
      </c>
      <c r="O86" s="34"/>
      <c r="P86" s="34"/>
      <c r="Q86" s="16">
        <f t="shared" si="80"/>
        <v>0</v>
      </c>
      <c r="R86" s="16">
        <f t="shared" si="94"/>
        <v>0</v>
      </c>
      <c r="S86" s="16">
        <f t="shared" si="82"/>
        <v>0</v>
      </c>
      <c r="T86" s="43" t="e">
        <f t="shared" si="95"/>
        <v>#DIV/0!</v>
      </c>
    </row>
    <row r="87" spans="1:20" s="36" customFormat="1" ht="27.6" customHeight="1">
      <c r="A87" s="69" t="s">
        <v>114</v>
      </c>
      <c r="B87" s="26" t="s">
        <v>30</v>
      </c>
      <c r="C87" s="34">
        <v>24</v>
      </c>
      <c r="D87" s="34">
        <v>6670000</v>
      </c>
      <c r="E87" s="34">
        <f t="shared" si="90"/>
        <v>10168.349449735273</v>
      </c>
      <c r="F87" s="34">
        <f t="shared" si="76"/>
        <v>160080000</v>
      </c>
      <c r="G87" s="34">
        <f t="shared" si="77"/>
        <v>244040.38679364652</v>
      </c>
      <c r="H87" s="34">
        <v>12</v>
      </c>
      <c r="I87" s="34">
        <v>6670000</v>
      </c>
      <c r="J87" s="34">
        <f t="shared" si="91"/>
        <v>10168.349449735273</v>
      </c>
      <c r="K87" s="34">
        <f t="shared" si="92"/>
        <v>80040000</v>
      </c>
      <c r="L87" s="34">
        <f t="shared" si="93"/>
        <v>122020.19339682326</v>
      </c>
      <c r="M87" s="34"/>
      <c r="N87" s="34">
        <f t="shared" si="96"/>
        <v>80040000</v>
      </c>
      <c r="O87" s="34"/>
      <c r="P87" s="34">
        <v>86010706</v>
      </c>
      <c r="Q87" s="16">
        <f t="shared" si="80"/>
        <v>131122.47601595835</v>
      </c>
      <c r="R87" s="16">
        <f t="shared" si="94"/>
        <v>-5970706</v>
      </c>
      <c r="S87" s="16">
        <f t="shared" si="82"/>
        <v>-9102.282619135096</v>
      </c>
      <c r="T87" s="43">
        <f t="shared" si="95"/>
        <v>1.0745965267366318</v>
      </c>
    </row>
    <row r="88" spans="1:20" s="36" customFormat="1" ht="27.6" customHeight="1">
      <c r="A88" s="69" t="s">
        <v>115</v>
      </c>
      <c r="B88" s="26" t="s">
        <v>88</v>
      </c>
      <c r="C88" s="34">
        <v>1</v>
      </c>
      <c r="D88" s="34">
        <v>7000000</v>
      </c>
      <c r="E88" s="34">
        <f t="shared" si="90"/>
        <v>10671.431206618727</v>
      </c>
      <c r="F88" s="34">
        <f t="shared" si="76"/>
        <v>7000000</v>
      </c>
      <c r="G88" s="34">
        <f t="shared" si="77"/>
        <v>10671.431206618727</v>
      </c>
      <c r="H88" s="34">
        <v>1</v>
      </c>
      <c r="I88" s="34">
        <v>7000000</v>
      </c>
      <c r="J88" s="34">
        <f t="shared" si="91"/>
        <v>10671.431206618727</v>
      </c>
      <c r="K88" s="34">
        <f t="shared" si="92"/>
        <v>7000000</v>
      </c>
      <c r="L88" s="34">
        <f t="shared" si="93"/>
        <v>10671.431206618727</v>
      </c>
      <c r="M88" s="34"/>
      <c r="N88" s="34">
        <f t="shared" si="96"/>
        <v>7000000</v>
      </c>
      <c r="O88" s="34"/>
      <c r="P88" s="34">
        <v>6845700</v>
      </c>
      <c r="Q88" s="16">
        <f t="shared" si="80"/>
        <v>10436.202373021402</v>
      </c>
      <c r="R88" s="16">
        <f t="shared" si="94"/>
        <v>154300</v>
      </c>
      <c r="S88" s="16">
        <f t="shared" si="82"/>
        <v>235.22883359732421</v>
      </c>
      <c r="T88" s="43">
        <f t="shared" si="95"/>
        <v>0.97795714285714286</v>
      </c>
    </row>
    <row r="89" spans="1:20" s="36" customFormat="1" ht="27.6" customHeight="1">
      <c r="A89" s="69" t="s">
        <v>116</v>
      </c>
      <c r="B89" s="26" t="s">
        <v>88</v>
      </c>
      <c r="C89" s="34">
        <v>1</v>
      </c>
      <c r="D89" s="34">
        <v>4000000</v>
      </c>
      <c r="E89" s="34">
        <f t="shared" si="90"/>
        <v>6097.9606894964154</v>
      </c>
      <c r="F89" s="34">
        <f t="shared" si="76"/>
        <v>4000000</v>
      </c>
      <c r="G89" s="34">
        <f t="shared" si="77"/>
        <v>6097.9606894964154</v>
      </c>
      <c r="H89" s="34">
        <v>1</v>
      </c>
      <c r="I89" s="34">
        <v>2000000</v>
      </c>
      <c r="J89" s="34">
        <f t="shared" si="91"/>
        <v>3048.9803447482077</v>
      </c>
      <c r="K89" s="34">
        <f t="shared" si="92"/>
        <v>2000000</v>
      </c>
      <c r="L89" s="34">
        <f t="shared" si="93"/>
        <v>3048.9803447482077</v>
      </c>
      <c r="M89" s="34"/>
      <c r="N89" s="34">
        <f t="shared" si="96"/>
        <v>2000000</v>
      </c>
      <c r="O89" s="34"/>
      <c r="P89" s="34">
        <v>1000000</v>
      </c>
      <c r="Q89" s="16">
        <f t="shared" si="80"/>
        <v>1524.4901723741038</v>
      </c>
      <c r="R89" s="16">
        <f t="shared" si="94"/>
        <v>1000000</v>
      </c>
      <c r="S89" s="16">
        <f t="shared" si="82"/>
        <v>1524.4901723741038</v>
      </c>
      <c r="T89" s="43">
        <f t="shared" si="95"/>
        <v>0.5</v>
      </c>
    </row>
    <row r="90" spans="1:20" s="36" customFormat="1" ht="27.95" customHeight="1">
      <c r="A90" s="182" t="s">
        <v>117</v>
      </c>
      <c r="B90" s="26" t="s">
        <v>88</v>
      </c>
      <c r="C90" s="34">
        <v>1</v>
      </c>
      <c r="D90" s="34">
        <v>4000000</v>
      </c>
      <c r="E90" s="34">
        <f t="shared" ref="E90" si="97">D90/$A$3</f>
        <v>6097.9606894964154</v>
      </c>
      <c r="F90" s="34">
        <f t="shared" ref="F90" si="98">C90*D90</f>
        <v>4000000</v>
      </c>
      <c r="G90" s="34">
        <f t="shared" ref="G90" si="99">+F90/655.957</f>
        <v>6097.9606894964154</v>
      </c>
      <c r="H90" s="34">
        <v>1</v>
      </c>
      <c r="I90" s="34">
        <v>5000000</v>
      </c>
      <c r="J90" s="34">
        <f t="shared" ref="J90" si="100">I90/$A$3</f>
        <v>7622.4508618705195</v>
      </c>
      <c r="K90" s="34">
        <f t="shared" ref="K90" si="101">H90*I90</f>
        <v>5000000</v>
      </c>
      <c r="L90" s="34">
        <f t="shared" ref="L90" si="102">+K90/655.957</f>
        <v>7622.4508618705195</v>
      </c>
      <c r="M90" s="34"/>
      <c r="N90" s="34">
        <f t="shared" ref="N90" si="103">+K90</f>
        <v>5000000</v>
      </c>
      <c r="O90" s="34"/>
      <c r="P90" s="34">
        <v>4720000</v>
      </c>
      <c r="Q90" s="16">
        <f t="shared" ref="Q90" si="104">+P90/655.957</f>
        <v>7195.5936136057699</v>
      </c>
      <c r="R90" s="16">
        <f t="shared" si="94"/>
        <v>280000</v>
      </c>
      <c r="S90" s="16">
        <f t="shared" ref="S90" si="105">+R90/655.957</f>
        <v>426.85724826474905</v>
      </c>
      <c r="T90" s="43">
        <f t="shared" ref="T90" si="106">+P90/K90</f>
        <v>0.94399999999999995</v>
      </c>
    </row>
    <row r="91" spans="1:20" s="31" customFormat="1" ht="27.6" customHeight="1" collapsed="1">
      <c r="A91" s="56" t="s">
        <v>118</v>
      </c>
      <c r="B91" s="30"/>
      <c r="C91" s="30"/>
      <c r="D91" s="30"/>
      <c r="E91" s="30"/>
      <c r="F91" s="30">
        <f>SUM(F92:F95)</f>
        <v>35715000</v>
      </c>
      <c r="G91" s="30">
        <f>SUM(G92:G95)</f>
        <v>54447.16650634112</v>
      </c>
      <c r="H91" s="30">
        <f t="shared" ref="H91:S91" si="107">SUM(H92:H95)</f>
        <v>2</v>
      </c>
      <c r="I91" s="30">
        <f>SUM(I92:I95)</f>
        <v>14715000</v>
      </c>
      <c r="J91" s="30">
        <f t="shared" si="107"/>
        <v>22432.872886484936</v>
      </c>
      <c r="K91" s="30">
        <f t="shared" si="107"/>
        <v>10000000</v>
      </c>
      <c r="L91" s="30">
        <f t="shared" si="107"/>
        <v>15244.901723741037</v>
      </c>
      <c r="M91" s="30">
        <f t="shared" si="107"/>
        <v>0</v>
      </c>
      <c r="N91" s="30">
        <f t="shared" si="107"/>
        <v>10000000</v>
      </c>
      <c r="O91" s="30">
        <f t="shared" si="107"/>
        <v>0</v>
      </c>
      <c r="P91" s="30">
        <f>SUM(P92:P95)</f>
        <v>7950000</v>
      </c>
      <c r="Q91" s="30">
        <f t="shared" si="107"/>
        <v>12119.696870374126</v>
      </c>
      <c r="R91" s="30">
        <f t="shared" si="107"/>
        <v>2050000</v>
      </c>
      <c r="S91" s="30">
        <f t="shared" si="107"/>
        <v>3125.2048533669126</v>
      </c>
      <c r="T91" s="16"/>
    </row>
    <row r="92" spans="1:20" s="35" customFormat="1" ht="27.6" customHeight="1">
      <c r="A92" s="70" t="s">
        <v>118</v>
      </c>
      <c r="B92" s="15" t="s">
        <v>88</v>
      </c>
      <c r="C92" s="25">
        <v>1</v>
      </c>
      <c r="D92" s="38">
        <v>4715000</v>
      </c>
      <c r="E92" s="34">
        <f>D92/$A$3</f>
        <v>7187.9711627438992</v>
      </c>
      <c r="F92" s="38">
        <f t="shared" ref="F92" si="108">C92*D92</f>
        <v>4715000</v>
      </c>
      <c r="G92" s="38">
        <f t="shared" ref="G92" si="109">+F92/655.957</f>
        <v>7187.9711627438992</v>
      </c>
      <c r="H92" s="25">
        <v>0</v>
      </c>
      <c r="I92" s="38">
        <v>4715000</v>
      </c>
      <c r="J92" s="34">
        <f>I92/$A$3</f>
        <v>7187.9711627438992</v>
      </c>
      <c r="K92" s="38">
        <f t="shared" ref="K92:K95" si="110">H92*I92</f>
        <v>0</v>
      </c>
      <c r="L92" s="38">
        <f t="shared" ref="L92:L95" si="111">+K92/655.957</f>
        <v>0</v>
      </c>
      <c r="M92" s="32"/>
      <c r="N92" s="38"/>
      <c r="O92" s="32"/>
      <c r="P92" s="38"/>
      <c r="Q92" s="16">
        <f t="shared" si="80"/>
        <v>0</v>
      </c>
      <c r="R92" s="16">
        <f t="shared" ref="R92:R95" si="112">+K92-P92</f>
        <v>0</v>
      </c>
      <c r="S92" s="16">
        <f t="shared" si="82"/>
        <v>0</v>
      </c>
      <c r="T92" s="43" t="e">
        <f>+P92/K92</f>
        <v>#DIV/0!</v>
      </c>
    </row>
    <row r="93" spans="1:20" s="6" customFormat="1" ht="27.6" customHeight="1">
      <c r="A93" s="70" t="s">
        <v>119</v>
      </c>
      <c r="B93" s="15" t="s">
        <v>88</v>
      </c>
      <c r="C93" s="25">
        <v>1</v>
      </c>
      <c r="D93" s="38">
        <v>15000000</v>
      </c>
      <c r="E93" s="34">
        <f>D93/$A$3</f>
        <v>22867.352585611556</v>
      </c>
      <c r="F93" s="38">
        <f t="shared" si="76"/>
        <v>15000000</v>
      </c>
      <c r="G93" s="38">
        <f t="shared" si="77"/>
        <v>22867.352585611556</v>
      </c>
      <c r="H93" s="25">
        <v>1</v>
      </c>
      <c r="I93" s="38">
        <v>6000000</v>
      </c>
      <c r="J93" s="34">
        <f>I93/$A$3</f>
        <v>9146.9410342446226</v>
      </c>
      <c r="K93" s="38">
        <f t="shared" si="110"/>
        <v>6000000</v>
      </c>
      <c r="L93" s="38">
        <f t="shared" si="111"/>
        <v>9146.9410342446226</v>
      </c>
      <c r="M93" s="38"/>
      <c r="N93" s="38">
        <f>+K93</f>
        <v>6000000</v>
      </c>
      <c r="O93" s="38"/>
      <c r="P93" s="38">
        <v>4050000</v>
      </c>
      <c r="Q93" s="16">
        <f t="shared" si="80"/>
        <v>6174.1851981151203</v>
      </c>
      <c r="R93" s="16">
        <f t="shared" si="112"/>
        <v>1950000</v>
      </c>
      <c r="S93" s="16">
        <f t="shared" si="82"/>
        <v>2972.7558361295023</v>
      </c>
      <c r="T93" s="43">
        <f>+P93/K93</f>
        <v>0.67500000000000004</v>
      </c>
    </row>
    <row r="94" spans="1:20" s="36" customFormat="1" ht="27.6" customHeight="1">
      <c r="A94" s="69" t="s">
        <v>120</v>
      </c>
      <c r="B94" s="26" t="s">
        <v>88</v>
      </c>
      <c r="C94" s="34">
        <v>4</v>
      </c>
      <c r="D94" s="34">
        <v>4000000</v>
      </c>
      <c r="E94" s="34">
        <f>D94/$A$3</f>
        <v>6097.9606894964154</v>
      </c>
      <c r="F94" s="34">
        <f t="shared" si="76"/>
        <v>16000000</v>
      </c>
      <c r="G94" s="34">
        <f t="shared" si="77"/>
        <v>24391.842757985662</v>
      </c>
      <c r="H94" s="34">
        <v>1</v>
      </c>
      <c r="I94" s="34">
        <v>4000000</v>
      </c>
      <c r="J94" s="34">
        <f>I94/$A$3</f>
        <v>6097.9606894964154</v>
      </c>
      <c r="K94" s="34">
        <f t="shared" si="110"/>
        <v>4000000</v>
      </c>
      <c r="L94" s="34">
        <f t="shared" si="111"/>
        <v>6097.9606894964154</v>
      </c>
      <c r="M94" s="34"/>
      <c r="N94" s="38">
        <f>+K94</f>
        <v>4000000</v>
      </c>
      <c r="O94" s="34"/>
      <c r="P94" s="34">
        <v>3900000</v>
      </c>
      <c r="Q94" s="16">
        <f t="shared" si="80"/>
        <v>5945.5116722590046</v>
      </c>
      <c r="R94" s="16">
        <f t="shared" si="112"/>
        <v>100000</v>
      </c>
      <c r="S94" s="16">
        <f t="shared" si="82"/>
        <v>152.44901723741037</v>
      </c>
      <c r="T94" s="43">
        <f>+P94/K94</f>
        <v>0.97499999999999998</v>
      </c>
    </row>
    <row r="95" spans="1:20" s="31" customFormat="1" ht="27.6" customHeight="1" collapsed="1">
      <c r="A95" s="56" t="s">
        <v>121</v>
      </c>
      <c r="B95" s="29" t="s">
        <v>88</v>
      </c>
      <c r="C95" s="30">
        <v>0</v>
      </c>
      <c r="D95" s="30">
        <v>0</v>
      </c>
      <c r="E95" s="30"/>
      <c r="F95" s="30">
        <f t="shared" si="76"/>
        <v>0</v>
      </c>
      <c r="G95" s="30">
        <f t="shared" si="77"/>
        <v>0</v>
      </c>
      <c r="H95" s="30">
        <v>0</v>
      </c>
      <c r="I95" s="30">
        <v>0</v>
      </c>
      <c r="J95" s="30"/>
      <c r="K95" s="30">
        <f t="shared" si="110"/>
        <v>0</v>
      </c>
      <c r="L95" s="30">
        <f t="shared" si="111"/>
        <v>0</v>
      </c>
      <c r="M95" s="30">
        <v>0</v>
      </c>
      <c r="N95" s="30"/>
      <c r="O95" s="30"/>
      <c r="P95" s="30"/>
      <c r="Q95" s="30"/>
      <c r="R95" s="16">
        <f t="shared" si="112"/>
        <v>0</v>
      </c>
      <c r="S95" s="30"/>
      <c r="T95" s="50"/>
    </row>
    <row r="96" spans="1:20" ht="27.6" customHeight="1">
      <c r="A96" s="68" t="s">
        <v>122</v>
      </c>
      <c r="B96" s="51"/>
      <c r="C96" s="17"/>
      <c r="D96" s="17"/>
      <c r="E96" s="17"/>
      <c r="F96" s="18">
        <f>F73+F77+F80+F81+F82+F91+F95</f>
        <v>335525590</v>
      </c>
      <c r="G96" s="18">
        <f>G73+G77+G80+G81+G82+G91+G95</f>
        <v>511505.46453502285</v>
      </c>
      <c r="H96" s="18"/>
      <c r="I96" s="18"/>
      <c r="J96" s="18"/>
      <c r="K96" s="18">
        <f>+K73+K77+K82+K91</f>
        <v>111040000</v>
      </c>
      <c r="L96" s="18">
        <f>+L73+L77+L82+L91</f>
        <v>169279.38874042046</v>
      </c>
      <c r="M96" s="18">
        <f>+M73+M77+M82+M91</f>
        <v>0</v>
      </c>
      <c r="N96" s="18">
        <f>+N73+N77+N82+N91</f>
        <v>106040000</v>
      </c>
      <c r="O96" s="18">
        <f>+O73+O77+O82+O91</f>
        <v>0</v>
      </c>
      <c r="P96" s="18">
        <f>P73+P77+P80+P81+P82+P91+P95</f>
        <v>113161906</v>
      </c>
      <c r="Q96" s="18">
        <f>Q73+Q77+Q80+Q81+Q82+Q91+Q95</f>
        <v>165318.61997051633</v>
      </c>
      <c r="R96" s="18">
        <f>R73+R77+R80+R81+R82+R91+R95</f>
        <v>-2121906</v>
      </c>
      <c r="S96" s="18">
        <f>S73+S77+S80+S81+S82+S91+S95</f>
        <v>-3234.824843701645</v>
      </c>
      <c r="T96" s="47"/>
    </row>
    <row r="97" spans="1:20" ht="27.6" customHeight="1">
      <c r="A97" s="56" t="s">
        <v>123</v>
      </c>
      <c r="B97" s="15"/>
      <c r="C97" s="52"/>
      <c r="D97" s="16"/>
      <c r="E97" s="16"/>
      <c r="F97" s="16">
        <f t="shared" ref="F97" si="113">C97*D97</f>
        <v>0</v>
      </c>
      <c r="G97" s="16"/>
      <c r="H97" s="52"/>
      <c r="I97" s="16"/>
      <c r="J97" s="16"/>
      <c r="K97" s="16">
        <f t="shared" ref="K97" si="114">H97*I97</f>
        <v>0</v>
      </c>
      <c r="L97" s="16"/>
      <c r="M97" s="16"/>
      <c r="N97" s="16"/>
      <c r="O97" s="16"/>
      <c r="P97" s="16"/>
      <c r="Q97" s="82"/>
      <c r="R97" s="82"/>
      <c r="S97" s="82"/>
      <c r="T97" s="86"/>
    </row>
    <row r="98" spans="1:20" s="31" customFormat="1" ht="27.6" customHeight="1">
      <c r="A98" s="56" t="s">
        <v>124</v>
      </c>
      <c r="B98" s="29" t="s">
        <v>88</v>
      </c>
      <c r="C98" s="30">
        <v>1</v>
      </c>
      <c r="D98" s="30">
        <v>3750000</v>
      </c>
      <c r="E98" s="30">
        <f t="shared" ref="E98:E106" si="115">D98/$A$3</f>
        <v>5716.8381464028889</v>
      </c>
      <c r="F98" s="30">
        <f>C98*D98</f>
        <v>3750000</v>
      </c>
      <c r="G98" s="30">
        <f>+F98/655.957</f>
        <v>5716.8381464028889</v>
      </c>
      <c r="H98" s="30">
        <v>0</v>
      </c>
      <c r="I98" s="30">
        <v>0</v>
      </c>
      <c r="J98" s="30">
        <v>0</v>
      </c>
      <c r="K98" s="30">
        <v>0</v>
      </c>
      <c r="L98" s="30">
        <f>+K98/655.957</f>
        <v>0</v>
      </c>
      <c r="M98" s="30"/>
      <c r="N98" s="30"/>
      <c r="O98" s="30"/>
      <c r="P98" s="30">
        <v>0</v>
      </c>
      <c r="Q98" s="13">
        <f t="shared" ref="Q98:Q112" si="116">+P98/655.957</f>
        <v>0</v>
      </c>
      <c r="R98" s="16">
        <f t="shared" ref="R98:R107" si="117">+K98-P98</f>
        <v>0</v>
      </c>
      <c r="S98" s="13">
        <f t="shared" ref="S98:S107" si="118">+R98/655.957</f>
        <v>0</v>
      </c>
      <c r="T98" s="46" t="e">
        <f>+P98/K98</f>
        <v>#DIV/0!</v>
      </c>
    </row>
    <row r="99" spans="1:20" s="31" customFormat="1" ht="27.6" customHeight="1">
      <c r="A99" s="56" t="s">
        <v>125</v>
      </c>
      <c r="B99" s="29" t="s">
        <v>88</v>
      </c>
      <c r="C99" s="30">
        <v>1</v>
      </c>
      <c r="D99" s="30">
        <v>13950000</v>
      </c>
      <c r="E99" s="30">
        <f t="shared" si="115"/>
        <v>21266.637904618747</v>
      </c>
      <c r="F99" s="30">
        <f>C99*D99</f>
        <v>13950000</v>
      </c>
      <c r="G99" s="30">
        <f>+F99/655.957</f>
        <v>21266.637904618747</v>
      </c>
      <c r="H99" s="30">
        <v>0</v>
      </c>
      <c r="I99" s="30">
        <v>0</v>
      </c>
      <c r="J99" s="30">
        <v>0</v>
      </c>
      <c r="K99" s="30">
        <v>0</v>
      </c>
      <c r="L99" s="30">
        <f>+K99/655.957</f>
        <v>0</v>
      </c>
      <c r="M99" s="30"/>
      <c r="N99" s="30"/>
      <c r="O99" s="30"/>
      <c r="P99" s="30"/>
      <c r="Q99" s="13">
        <f t="shared" si="116"/>
        <v>0</v>
      </c>
      <c r="R99" s="16">
        <f t="shared" si="117"/>
        <v>0</v>
      </c>
      <c r="S99" s="13">
        <f t="shared" si="118"/>
        <v>0</v>
      </c>
      <c r="T99" s="46" t="e">
        <f>+P99/K99</f>
        <v>#DIV/0!</v>
      </c>
    </row>
    <row r="100" spans="1:20" s="31" customFormat="1" ht="33.950000000000003" customHeight="1">
      <c r="A100" s="56" t="s">
        <v>126</v>
      </c>
      <c r="B100" s="29" t="s">
        <v>88</v>
      </c>
      <c r="C100" s="30"/>
      <c r="D100" s="30"/>
      <c r="E100" s="30">
        <f t="shared" si="115"/>
        <v>0</v>
      </c>
      <c r="F100" s="30">
        <f>SUM(F101:F103)</f>
        <v>19500000</v>
      </c>
      <c r="G100" s="30">
        <f>SUM(G101:G103)</f>
        <v>29727.558361295025</v>
      </c>
      <c r="H100" s="30"/>
      <c r="I100" s="30"/>
      <c r="J100" s="30">
        <f t="shared" ref="J100:J106" si="119">I100/$A$3</f>
        <v>0</v>
      </c>
      <c r="K100" s="30">
        <f t="shared" ref="K100:Q100" si="120">SUM(K101:K103)</f>
        <v>0</v>
      </c>
      <c r="L100" s="30">
        <f t="shared" si="120"/>
        <v>0</v>
      </c>
      <c r="M100" s="30">
        <f t="shared" si="120"/>
        <v>0</v>
      </c>
      <c r="N100" s="30">
        <f t="shared" si="120"/>
        <v>0</v>
      </c>
      <c r="O100" s="30">
        <f t="shared" si="120"/>
        <v>0</v>
      </c>
      <c r="P100" s="30">
        <f>SUM(P101:P103)</f>
        <v>0</v>
      </c>
      <c r="Q100" s="30">
        <f t="shared" si="120"/>
        <v>0</v>
      </c>
      <c r="R100" s="16">
        <f t="shared" si="117"/>
        <v>0</v>
      </c>
      <c r="S100" s="13"/>
      <c r="T100" s="46"/>
    </row>
    <row r="101" spans="1:20" s="36" customFormat="1" ht="27.6" customHeight="1">
      <c r="A101" s="69" t="s">
        <v>127</v>
      </c>
      <c r="B101" s="26" t="s">
        <v>88</v>
      </c>
      <c r="C101" s="34"/>
      <c r="D101" s="34"/>
      <c r="E101" s="34">
        <f t="shared" si="115"/>
        <v>0</v>
      </c>
      <c r="F101" s="34">
        <f t="shared" ref="F101:F115" si="121">C101*D101</f>
        <v>0</v>
      </c>
      <c r="G101" s="34">
        <f t="shared" ref="G101:G115" si="122">+F101/655.957</f>
        <v>0</v>
      </c>
      <c r="H101" s="34"/>
      <c r="I101" s="34"/>
      <c r="J101" s="34">
        <f t="shared" si="119"/>
        <v>0</v>
      </c>
      <c r="K101" s="34">
        <f t="shared" ref="K101:K103" si="123">H101*I101</f>
        <v>0</v>
      </c>
      <c r="L101" s="34">
        <f t="shared" ref="L101:L103" si="124">+K101/655.957</f>
        <v>0</v>
      </c>
      <c r="M101" s="34"/>
      <c r="N101" s="34">
        <f>+K101</f>
        <v>0</v>
      </c>
      <c r="O101" s="34"/>
      <c r="P101" s="34"/>
      <c r="Q101" s="16">
        <f t="shared" si="116"/>
        <v>0</v>
      </c>
      <c r="R101" s="16">
        <f t="shared" si="117"/>
        <v>0</v>
      </c>
      <c r="S101" s="16">
        <f t="shared" si="118"/>
        <v>0</v>
      </c>
      <c r="T101" s="43" t="e">
        <f t="shared" ref="T101:T108" si="125">+P101/K101</f>
        <v>#DIV/0!</v>
      </c>
    </row>
    <row r="102" spans="1:20" s="36" customFormat="1" ht="27.6" customHeight="1">
      <c r="A102" s="69" t="s">
        <v>128</v>
      </c>
      <c r="B102" s="26" t="s">
        <v>88</v>
      </c>
      <c r="C102" s="34">
        <v>1</v>
      </c>
      <c r="D102" s="34">
        <v>12500000</v>
      </c>
      <c r="E102" s="34">
        <f t="shared" si="115"/>
        <v>19056.127154676298</v>
      </c>
      <c r="F102" s="34">
        <f t="shared" si="121"/>
        <v>12500000</v>
      </c>
      <c r="G102" s="34">
        <f t="shared" si="122"/>
        <v>19056.127154676298</v>
      </c>
      <c r="H102" s="34">
        <v>0</v>
      </c>
      <c r="I102" s="34">
        <v>12500000</v>
      </c>
      <c r="J102" s="34">
        <f t="shared" si="119"/>
        <v>19056.127154676298</v>
      </c>
      <c r="K102" s="34">
        <f t="shared" si="123"/>
        <v>0</v>
      </c>
      <c r="L102" s="34">
        <f t="shared" si="124"/>
        <v>0</v>
      </c>
      <c r="M102" s="34"/>
      <c r="N102" s="34">
        <f t="shared" ref="N102:N103" si="126">+K102</f>
        <v>0</v>
      </c>
      <c r="O102" s="34"/>
      <c r="P102" s="34"/>
      <c r="Q102" s="16">
        <f t="shared" si="116"/>
        <v>0</v>
      </c>
      <c r="R102" s="16">
        <f t="shared" si="117"/>
        <v>0</v>
      </c>
      <c r="S102" s="16">
        <f t="shared" si="118"/>
        <v>0</v>
      </c>
      <c r="T102" s="43" t="e">
        <f t="shared" si="125"/>
        <v>#DIV/0!</v>
      </c>
    </row>
    <row r="103" spans="1:20" s="36" customFormat="1" ht="27.6" customHeight="1">
      <c r="A103" s="69" t="s">
        <v>129</v>
      </c>
      <c r="B103" s="26" t="s">
        <v>88</v>
      </c>
      <c r="C103" s="34">
        <v>1</v>
      </c>
      <c r="D103" s="34">
        <v>7000000</v>
      </c>
      <c r="E103" s="34">
        <f t="shared" si="115"/>
        <v>10671.431206618727</v>
      </c>
      <c r="F103" s="34">
        <f>C103*D103</f>
        <v>7000000</v>
      </c>
      <c r="G103" s="34">
        <f t="shared" si="122"/>
        <v>10671.431206618727</v>
      </c>
      <c r="H103" s="34">
        <v>0</v>
      </c>
      <c r="I103" s="34">
        <v>7000000</v>
      </c>
      <c r="J103" s="34">
        <f t="shared" si="119"/>
        <v>10671.431206618727</v>
      </c>
      <c r="K103" s="34">
        <f t="shared" si="123"/>
        <v>0</v>
      </c>
      <c r="L103" s="34">
        <f t="shared" si="124"/>
        <v>0</v>
      </c>
      <c r="M103" s="34"/>
      <c r="N103" s="34">
        <f t="shared" si="126"/>
        <v>0</v>
      </c>
      <c r="O103" s="34"/>
      <c r="P103" s="34"/>
      <c r="Q103" s="16">
        <f t="shared" si="116"/>
        <v>0</v>
      </c>
      <c r="R103" s="16">
        <f t="shared" si="117"/>
        <v>0</v>
      </c>
      <c r="S103" s="16">
        <f t="shared" si="118"/>
        <v>0</v>
      </c>
      <c r="T103" s="43" t="e">
        <f t="shared" si="125"/>
        <v>#DIV/0!</v>
      </c>
    </row>
    <row r="104" spans="1:20" s="31" customFormat="1" ht="27.6" customHeight="1" collapsed="1">
      <c r="A104" s="56" t="s">
        <v>130</v>
      </c>
      <c r="B104" s="29" t="s">
        <v>88</v>
      </c>
      <c r="C104" s="30"/>
      <c r="D104" s="30"/>
      <c r="E104" s="30">
        <f t="shared" si="115"/>
        <v>0</v>
      </c>
      <c r="F104" s="30">
        <f>SUM(F105:F107)</f>
        <v>0</v>
      </c>
      <c r="G104" s="30">
        <f>SUM(G105:G107)</f>
        <v>0</v>
      </c>
      <c r="H104" s="30"/>
      <c r="I104" s="30"/>
      <c r="J104" s="30">
        <f t="shared" si="119"/>
        <v>0</v>
      </c>
      <c r="K104" s="30">
        <f t="shared" ref="K104:Q104" si="127">SUM(K105:K107)</f>
        <v>0</v>
      </c>
      <c r="L104" s="30">
        <f t="shared" si="127"/>
        <v>0</v>
      </c>
      <c r="M104" s="30">
        <f t="shared" si="127"/>
        <v>0</v>
      </c>
      <c r="N104" s="30">
        <f t="shared" si="127"/>
        <v>0</v>
      </c>
      <c r="O104" s="30">
        <f t="shared" si="127"/>
        <v>0</v>
      </c>
      <c r="P104" s="30">
        <f>SUM(P105:P107)</f>
        <v>0</v>
      </c>
      <c r="Q104" s="30">
        <f t="shared" si="127"/>
        <v>0</v>
      </c>
      <c r="R104" s="16">
        <f t="shared" si="117"/>
        <v>0</v>
      </c>
      <c r="S104" s="13">
        <f t="shared" si="118"/>
        <v>0</v>
      </c>
      <c r="T104" s="46" t="e">
        <f t="shared" si="125"/>
        <v>#DIV/0!</v>
      </c>
    </row>
    <row r="105" spans="1:20" s="36" customFormat="1" ht="27.6" customHeight="1">
      <c r="A105" s="69" t="s">
        <v>131</v>
      </c>
      <c r="B105" s="26" t="s">
        <v>88</v>
      </c>
      <c r="C105" s="34">
        <v>0</v>
      </c>
      <c r="D105" s="34">
        <v>8000000</v>
      </c>
      <c r="E105" s="34">
        <f t="shared" si="115"/>
        <v>12195.921378992831</v>
      </c>
      <c r="F105" s="34">
        <f t="shared" ref="F105:F107" si="128">C105*D105</f>
        <v>0</v>
      </c>
      <c r="G105" s="34">
        <f t="shared" si="122"/>
        <v>0</v>
      </c>
      <c r="H105" s="34">
        <v>0</v>
      </c>
      <c r="I105" s="34">
        <v>8000000</v>
      </c>
      <c r="J105" s="34">
        <f t="shared" si="119"/>
        <v>12195.921378992831</v>
      </c>
      <c r="K105" s="34">
        <f t="shared" ref="K105" si="129">H105*I105</f>
        <v>0</v>
      </c>
      <c r="L105" s="34">
        <f t="shared" ref="L105:L107" si="130">+K105/655.957</f>
        <v>0</v>
      </c>
      <c r="M105" s="34"/>
      <c r="N105" s="34"/>
      <c r="O105" s="34">
        <f>G105</f>
        <v>0</v>
      </c>
      <c r="P105" s="34"/>
      <c r="Q105" s="16">
        <f t="shared" si="116"/>
        <v>0</v>
      </c>
      <c r="R105" s="16">
        <f t="shared" si="117"/>
        <v>0</v>
      </c>
      <c r="S105" s="16">
        <f t="shared" si="118"/>
        <v>0</v>
      </c>
      <c r="T105" s="43" t="e">
        <f t="shared" si="125"/>
        <v>#DIV/0!</v>
      </c>
    </row>
    <row r="106" spans="1:20" s="36" customFormat="1" ht="27.6" customHeight="1">
      <c r="A106" s="69" t="s">
        <v>132</v>
      </c>
      <c r="B106" s="26" t="s">
        <v>88</v>
      </c>
      <c r="C106" s="34">
        <v>0</v>
      </c>
      <c r="D106" s="34">
        <v>2200000</v>
      </c>
      <c r="E106" s="34">
        <f t="shared" si="115"/>
        <v>3353.8783792230283</v>
      </c>
      <c r="F106" s="34">
        <f t="shared" si="128"/>
        <v>0</v>
      </c>
      <c r="G106" s="34">
        <f t="shared" si="122"/>
        <v>0</v>
      </c>
      <c r="H106" s="34">
        <v>0</v>
      </c>
      <c r="I106" s="34">
        <v>2200000</v>
      </c>
      <c r="J106" s="34">
        <f t="shared" si="119"/>
        <v>3353.8783792230283</v>
      </c>
      <c r="K106" s="34">
        <f>H106*I106</f>
        <v>0</v>
      </c>
      <c r="L106" s="34">
        <f t="shared" si="130"/>
        <v>0</v>
      </c>
      <c r="M106" s="34"/>
      <c r="N106" s="34"/>
      <c r="O106" s="34">
        <f>G106</f>
        <v>0</v>
      </c>
      <c r="P106" s="34"/>
      <c r="Q106" s="16">
        <f t="shared" si="116"/>
        <v>0</v>
      </c>
      <c r="R106" s="16">
        <f t="shared" si="117"/>
        <v>0</v>
      </c>
      <c r="S106" s="16">
        <f t="shared" si="118"/>
        <v>0</v>
      </c>
      <c r="T106" s="43" t="e">
        <f t="shared" si="125"/>
        <v>#DIV/0!</v>
      </c>
    </row>
    <row r="107" spans="1:20" s="36" customFormat="1" ht="27.6" customHeight="1">
      <c r="A107" s="69" t="s">
        <v>133</v>
      </c>
      <c r="B107" s="26" t="s">
        <v>88</v>
      </c>
      <c r="C107" s="34">
        <v>0</v>
      </c>
      <c r="D107" s="34">
        <v>3224028.6549999998</v>
      </c>
      <c r="E107" s="34">
        <v>4915</v>
      </c>
      <c r="F107" s="34">
        <f t="shared" si="128"/>
        <v>0</v>
      </c>
      <c r="G107" s="34">
        <f t="shared" si="122"/>
        <v>0</v>
      </c>
      <c r="H107" s="34">
        <v>0</v>
      </c>
      <c r="I107" s="34">
        <v>3224028.6549999998</v>
      </c>
      <c r="J107" s="34">
        <v>4915</v>
      </c>
      <c r="K107" s="34">
        <f t="shared" ref="K107" si="131">H107*I107</f>
        <v>0</v>
      </c>
      <c r="L107" s="34">
        <f t="shared" si="130"/>
        <v>0</v>
      </c>
      <c r="M107" s="34"/>
      <c r="N107" s="34"/>
      <c r="O107" s="34">
        <f>G107</f>
        <v>0</v>
      </c>
      <c r="P107" s="34"/>
      <c r="Q107" s="16">
        <f t="shared" si="116"/>
        <v>0</v>
      </c>
      <c r="R107" s="16">
        <f t="shared" si="117"/>
        <v>0</v>
      </c>
      <c r="S107" s="16">
        <f t="shared" si="118"/>
        <v>0</v>
      </c>
      <c r="T107" s="43" t="e">
        <f t="shared" si="125"/>
        <v>#DIV/0!</v>
      </c>
    </row>
    <row r="108" spans="1:20" s="31" customFormat="1" ht="27.6" customHeight="1" collapsed="1">
      <c r="A108" s="56" t="s">
        <v>134</v>
      </c>
      <c r="B108" s="29" t="s">
        <v>88</v>
      </c>
      <c r="C108" s="30">
        <v>2</v>
      </c>
      <c r="D108" s="30">
        <v>20000000</v>
      </c>
      <c r="E108" s="30">
        <f>D108/$A$3</f>
        <v>30489.803447482078</v>
      </c>
      <c r="F108" s="30">
        <f>C108*D108</f>
        <v>40000000</v>
      </c>
      <c r="G108" s="30">
        <f>+F108/655.957</f>
        <v>60979.606894964156</v>
      </c>
      <c r="H108" s="30">
        <v>1</v>
      </c>
      <c r="I108" s="30">
        <v>20000000</v>
      </c>
      <c r="J108" s="30">
        <f>I108/$A$3</f>
        <v>30489.803447482078</v>
      </c>
      <c r="K108" s="30">
        <f>H108*I108</f>
        <v>20000000</v>
      </c>
      <c r="L108" s="30">
        <f>+K108/655.957</f>
        <v>30489.803447482078</v>
      </c>
      <c r="M108" s="30"/>
      <c r="N108" s="30">
        <f>+K108</f>
        <v>20000000</v>
      </c>
      <c r="O108" s="30"/>
      <c r="P108" s="30">
        <v>20969623</v>
      </c>
      <c r="Q108" s="13">
        <f t="shared" si="116"/>
        <v>31967.984181889973</v>
      </c>
      <c r="R108" s="13">
        <f t="shared" ref="R108" si="132">+K108-P108</f>
        <v>-969623</v>
      </c>
      <c r="S108" s="13">
        <f t="shared" ref="S108:S113" si="133">+R108/655.957</f>
        <v>-1478.1807344078957</v>
      </c>
      <c r="T108" s="46">
        <f t="shared" si="125"/>
        <v>1.04848115</v>
      </c>
    </row>
    <row r="109" spans="1:20" s="31" customFormat="1" ht="44.45" customHeight="1" collapsed="1">
      <c r="A109" s="56" t="s">
        <v>135</v>
      </c>
      <c r="B109" s="29" t="s">
        <v>88</v>
      </c>
      <c r="C109" s="30"/>
      <c r="D109" s="30"/>
      <c r="E109" s="30"/>
      <c r="F109" s="30">
        <f>SUM(F110:F112)</f>
        <v>40000000</v>
      </c>
      <c r="G109" s="30">
        <f>SUM(G110:G112)</f>
        <v>60979.606894964149</v>
      </c>
      <c r="H109" s="30"/>
      <c r="I109" s="30"/>
      <c r="J109" s="30"/>
      <c r="K109" s="30">
        <f>SUM(K110:K112)</f>
        <v>16000000</v>
      </c>
      <c r="L109" s="30">
        <f t="shared" ref="L109:S109" si="134">SUM(L110:L112)</f>
        <v>24391.842757985662</v>
      </c>
      <c r="M109" s="30">
        <f t="shared" si="134"/>
        <v>0</v>
      </c>
      <c r="N109" s="30">
        <f t="shared" si="134"/>
        <v>16000000</v>
      </c>
      <c r="O109" s="30">
        <f t="shared" si="134"/>
        <v>0</v>
      </c>
      <c r="P109" s="30">
        <f>SUM(P110:P112)</f>
        <v>12455828</v>
      </c>
      <c r="Q109" s="30">
        <f t="shared" si="134"/>
        <v>18988.78737478219</v>
      </c>
      <c r="R109" s="30">
        <f t="shared" si="134"/>
        <v>3544172</v>
      </c>
      <c r="S109" s="30">
        <f t="shared" si="134"/>
        <v>5403.055383203473</v>
      </c>
      <c r="T109" s="43"/>
    </row>
    <row r="110" spans="1:20" s="36" customFormat="1" ht="27.6" customHeight="1">
      <c r="A110" s="69" t="s">
        <v>136</v>
      </c>
      <c r="B110" s="26" t="s">
        <v>88</v>
      </c>
      <c r="C110" s="34">
        <v>1</v>
      </c>
      <c r="D110" s="34">
        <v>8000000</v>
      </c>
      <c r="E110" s="34">
        <f>D110/$A$3</f>
        <v>12195.921378992831</v>
      </c>
      <c r="F110" s="34">
        <f>C110*D110</f>
        <v>8000000</v>
      </c>
      <c r="G110" s="34">
        <f>+F110/655.957</f>
        <v>12195.921378992831</v>
      </c>
      <c r="H110" s="34">
        <v>1</v>
      </c>
      <c r="I110" s="34">
        <v>5000000</v>
      </c>
      <c r="J110" s="34">
        <f>I110/$A$3</f>
        <v>7622.4508618705195</v>
      </c>
      <c r="K110" s="34">
        <f>H110*I110</f>
        <v>5000000</v>
      </c>
      <c r="L110" s="34">
        <f>+K110/655.957</f>
        <v>7622.4508618705195</v>
      </c>
      <c r="M110" s="34"/>
      <c r="N110" s="34">
        <f>+K110</f>
        <v>5000000</v>
      </c>
      <c r="O110" s="34"/>
      <c r="P110" s="34">
        <f>2880000+2683000</f>
        <v>5563000</v>
      </c>
      <c r="Q110" s="16">
        <f t="shared" si="116"/>
        <v>8480.7388289171395</v>
      </c>
      <c r="R110" s="16">
        <f t="shared" ref="R110:R115" si="135">+K110-P110</f>
        <v>-563000</v>
      </c>
      <c r="S110" s="16">
        <f t="shared" si="133"/>
        <v>-858.28796704662045</v>
      </c>
      <c r="T110" s="43">
        <f t="shared" ref="T110:T115" si="136">+P110/K110</f>
        <v>1.1126</v>
      </c>
    </row>
    <row r="111" spans="1:20" s="36" customFormat="1" ht="27.6" customHeight="1">
      <c r="A111" s="69" t="s">
        <v>137</v>
      </c>
      <c r="B111" s="26" t="s">
        <v>88</v>
      </c>
      <c r="C111" s="34">
        <v>2</v>
      </c>
      <c r="D111" s="34">
        <v>6000000</v>
      </c>
      <c r="E111" s="34">
        <f>D111/$A$3</f>
        <v>9146.9410342446226</v>
      </c>
      <c r="F111" s="34">
        <f t="shared" ref="F111:F112" si="137">C111*D111</f>
        <v>12000000</v>
      </c>
      <c r="G111" s="34">
        <f t="shared" ref="G111:G112" si="138">+F111/655.957</f>
        <v>18293.882068489245</v>
      </c>
      <c r="H111" s="34">
        <v>1</v>
      </c>
      <c r="I111" s="34">
        <v>6000000</v>
      </c>
      <c r="J111" s="34">
        <f>I111/$A$3</f>
        <v>9146.9410342446226</v>
      </c>
      <c r="K111" s="34">
        <f t="shared" ref="K111:K112" si="139">H111*I111</f>
        <v>6000000</v>
      </c>
      <c r="L111" s="34">
        <f t="shared" ref="L111:L112" si="140">+K111/655.957</f>
        <v>9146.9410342446226</v>
      </c>
      <c r="M111" s="34"/>
      <c r="N111" s="34">
        <f t="shared" ref="N111:N115" si="141">+K111</f>
        <v>6000000</v>
      </c>
      <c r="O111" s="34"/>
      <c r="P111" s="34">
        <v>2921000</v>
      </c>
      <c r="Q111" s="16">
        <f t="shared" si="116"/>
        <v>4453.0357935047568</v>
      </c>
      <c r="R111" s="16">
        <f t="shared" si="135"/>
        <v>3079000</v>
      </c>
      <c r="S111" s="16">
        <f t="shared" si="133"/>
        <v>4693.9052407398658</v>
      </c>
      <c r="T111" s="43">
        <f t="shared" si="136"/>
        <v>0.48683333333333334</v>
      </c>
    </row>
    <row r="112" spans="1:20" s="36" customFormat="1" ht="27.6" customHeight="1">
      <c r="A112" s="69" t="s">
        <v>138</v>
      </c>
      <c r="B112" s="26" t="s">
        <v>88</v>
      </c>
      <c r="C112" s="25">
        <v>4</v>
      </c>
      <c r="D112" s="34">
        <v>5000000</v>
      </c>
      <c r="E112" s="34">
        <f>D112/$A$3</f>
        <v>7622.4508618705195</v>
      </c>
      <c r="F112" s="34">
        <f t="shared" si="137"/>
        <v>20000000</v>
      </c>
      <c r="G112" s="34">
        <f t="shared" si="138"/>
        <v>30489.803447482078</v>
      </c>
      <c r="H112" s="25">
        <v>1</v>
      </c>
      <c r="I112" s="34">
        <v>5000000</v>
      </c>
      <c r="J112" s="34">
        <f>I112/$A$3</f>
        <v>7622.4508618705195</v>
      </c>
      <c r="K112" s="34">
        <f t="shared" si="139"/>
        <v>5000000</v>
      </c>
      <c r="L112" s="34">
        <f t="shared" si="140"/>
        <v>7622.4508618705195</v>
      </c>
      <c r="M112" s="34"/>
      <c r="N112" s="34">
        <f t="shared" si="141"/>
        <v>5000000</v>
      </c>
      <c r="O112" s="34"/>
      <c r="P112" s="34">
        <v>3971828</v>
      </c>
      <c r="Q112" s="16">
        <f t="shared" si="116"/>
        <v>6055.0127523602923</v>
      </c>
      <c r="R112" s="16">
        <f t="shared" si="135"/>
        <v>1028172</v>
      </c>
      <c r="S112" s="16">
        <f t="shared" si="133"/>
        <v>1567.4381095102272</v>
      </c>
      <c r="T112" s="43">
        <f t="shared" si="136"/>
        <v>0.79436560000000001</v>
      </c>
    </row>
    <row r="113" spans="1:20 16362:16362" s="31" customFormat="1" ht="27.6" customHeight="1" collapsed="1">
      <c r="A113" s="56" t="s">
        <v>139</v>
      </c>
      <c r="B113" s="29"/>
      <c r="C113" s="30"/>
      <c r="D113" s="30"/>
      <c r="E113" s="30"/>
      <c r="F113" s="30">
        <f>SUM(F114:F115)</f>
        <v>7500000</v>
      </c>
      <c r="G113" s="30">
        <f>SUM(G114:G115)</f>
        <v>11433.676292805778</v>
      </c>
      <c r="H113" s="30"/>
      <c r="I113" s="30"/>
      <c r="J113" s="30"/>
      <c r="K113" s="30">
        <f t="shared" ref="K113:Q113" si="142">SUM(K114:K115)</f>
        <v>7500000</v>
      </c>
      <c r="L113" s="30">
        <f t="shared" si="142"/>
        <v>11433.676292805778</v>
      </c>
      <c r="M113" s="30">
        <f t="shared" si="142"/>
        <v>0</v>
      </c>
      <c r="N113" s="30">
        <f t="shared" si="142"/>
        <v>7500000</v>
      </c>
      <c r="O113" s="30">
        <f t="shared" si="142"/>
        <v>0</v>
      </c>
      <c r="P113" s="30">
        <f>+P114+P115</f>
        <v>7130000</v>
      </c>
      <c r="Q113" s="30">
        <f t="shared" si="142"/>
        <v>0</v>
      </c>
      <c r="R113" s="16">
        <f t="shared" si="135"/>
        <v>370000</v>
      </c>
      <c r="S113" s="16">
        <f t="shared" si="133"/>
        <v>564.06136377841835</v>
      </c>
      <c r="T113" s="43">
        <f t="shared" si="136"/>
        <v>0.95066666666666666</v>
      </c>
    </row>
    <row r="114" spans="1:20 16362:16362" s="6" customFormat="1" ht="27.6" customHeight="1">
      <c r="A114" s="70" t="s">
        <v>140</v>
      </c>
      <c r="B114" s="15" t="s">
        <v>88</v>
      </c>
      <c r="C114" s="25">
        <v>1</v>
      </c>
      <c r="D114" s="38">
        <v>500000</v>
      </c>
      <c r="E114" s="34">
        <f>D114/$A$3</f>
        <v>762.24508618705192</v>
      </c>
      <c r="F114" s="38">
        <f t="shared" si="121"/>
        <v>500000</v>
      </c>
      <c r="G114" s="38">
        <f t="shared" si="122"/>
        <v>762.24508618705192</v>
      </c>
      <c r="H114" s="25">
        <v>1</v>
      </c>
      <c r="I114" s="38">
        <v>500000</v>
      </c>
      <c r="J114" s="34">
        <f>I114/$A$3</f>
        <v>762.24508618705192</v>
      </c>
      <c r="K114" s="38">
        <f t="shared" ref="K114:K115" si="143">H114*I114</f>
        <v>500000</v>
      </c>
      <c r="L114" s="38">
        <f t="shared" ref="L114:L115" si="144">+K114/655.957</f>
        <v>762.24508618705192</v>
      </c>
      <c r="M114" s="38"/>
      <c r="N114" s="34">
        <f t="shared" si="141"/>
        <v>500000</v>
      </c>
      <c r="O114" s="38"/>
      <c r="P114" s="38">
        <v>480000</v>
      </c>
      <c r="Q114" s="38"/>
      <c r="R114" s="16">
        <f t="shared" si="135"/>
        <v>20000</v>
      </c>
      <c r="S114" s="16">
        <f t="shared" ref="S114:S115" si="145">+R114/655.957</f>
        <v>30.489803447482075</v>
      </c>
      <c r="T114" s="43">
        <f t="shared" si="136"/>
        <v>0.96</v>
      </c>
    </row>
    <row r="115" spans="1:20 16362:16362" s="36" customFormat="1" ht="27.6" customHeight="1">
      <c r="A115" s="69" t="s">
        <v>141</v>
      </c>
      <c r="B115" s="26" t="s">
        <v>88</v>
      </c>
      <c r="C115" s="34">
        <v>1</v>
      </c>
      <c r="D115" s="34">
        <v>7000000</v>
      </c>
      <c r="E115" s="34">
        <f>D115/$A$3</f>
        <v>10671.431206618727</v>
      </c>
      <c r="F115" s="34">
        <f t="shared" si="121"/>
        <v>7000000</v>
      </c>
      <c r="G115" s="34">
        <f t="shared" si="122"/>
        <v>10671.431206618727</v>
      </c>
      <c r="H115" s="34">
        <v>1</v>
      </c>
      <c r="I115" s="34">
        <v>7000000</v>
      </c>
      <c r="J115" s="34">
        <f>I115/$A$3</f>
        <v>10671.431206618727</v>
      </c>
      <c r="K115" s="34">
        <f t="shared" si="143"/>
        <v>7000000</v>
      </c>
      <c r="L115" s="34">
        <f t="shared" si="144"/>
        <v>10671.431206618727</v>
      </c>
      <c r="M115" s="34"/>
      <c r="N115" s="34">
        <f t="shared" si="141"/>
        <v>7000000</v>
      </c>
      <c r="O115" s="34"/>
      <c r="P115" s="34">
        <f>3500000+3150000</f>
        <v>6650000</v>
      </c>
      <c r="Q115" s="34"/>
      <c r="R115" s="16">
        <f t="shared" si="135"/>
        <v>350000</v>
      </c>
      <c r="S115" s="16">
        <f t="shared" si="145"/>
        <v>533.57156033093634</v>
      </c>
      <c r="T115" s="43">
        <f t="shared" si="136"/>
        <v>0.95</v>
      </c>
    </row>
    <row r="116" spans="1:20 16362:16362" ht="27.6" customHeight="1" collapsed="1">
      <c r="A116" s="68" t="s">
        <v>142</v>
      </c>
      <c r="B116" s="194"/>
      <c r="C116" s="195"/>
      <c r="D116" s="195"/>
      <c r="E116" s="17"/>
      <c r="F116" s="18">
        <f>F98+F99+F100+F104+F108+F109+F113</f>
        <v>124700000</v>
      </c>
      <c r="G116" s="18">
        <f>G98+G99+G100+G104+G108+G109+G113</f>
        <v>190103.92449505074</v>
      </c>
      <c r="H116" s="18"/>
      <c r="I116" s="18"/>
      <c r="J116" s="18"/>
      <c r="K116" s="18">
        <f>K98+K99+K100+K104+K108+K109+K113</f>
        <v>43500000</v>
      </c>
      <c r="L116" s="18">
        <f>L98+L99+L100+L104+L108+L109+L113</f>
        <v>66315.322498273512</v>
      </c>
      <c r="M116" s="18">
        <f>M98+M99+M100+M104+M108+M109+M113</f>
        <v>0</v>
      </c>
      <c r="N116" s="18">
        <f>N98+N99+N100+N104+N108+N109+N113</f>
        <v>43500000</v>
      </c>
      <c r="O116" s="18">
        <f>O98+O99+O100+O104+O108+O109+O113</f>
        <v>0</v>
      </c>
      <c r="P116" s="18">
        <f>P98+P99+P100+P104+P108+P109+P113</f>
        <v>40555451</v>
      </c>
      <c r="Q116" s="18">
        <f>Q98+Q99+Q100+Q104+Q108+Q109+Q113</f>
        <v>50956.77155667216</v>
      </c>
      <c r="R116" s="18">
        <f>R98+R99+R100+R104+R108+R109+R113</f>
        <v>2944549</v>
      </c>
      <c r="S116" s="18">
        <f>S98+S99+S100+S104+S108+S109+S113</f>
        <v>4488.9360125739959</v>
      </c>
      <c r="T116" s="18" t="e">
        <f>T98+T99+T100+T104+T108+T109+T113</f>
        <v>#DIV/0!</v>
      </c>
    </row>
    <row r="117" spans="1:20 16362:16362" s="75" customFormat="1" ht="36.950000000000003" customHeight="1">
      <c r="A117" s="56" t="s">
        <v>143</v>
      </c>
      <c r="B117" s="3"/>
      <c r="C117" s="3"/>
      <c r="D117" s="13"/>
      <c r="E117" s="13"/>
      <c r="F117" s="13"/>
      <c r="G117" s="13"/>
      <c r="H117" s="3"/>
      <c r="I117" s="13"/>
      <c r="J117" s="13"/>
      <c r="K117" s="13"/>
      <c r="L117" s="13"/>
      <c r="M117" s="13"/>
      <c r="N117" s="13"/>
      <c r="O117" s="13"/>
      <c r="P117" s="13"/>
      <c r="Q117" s="82"/>
      <c r="R117" s="82"/>
      <c r="S117" s="82"/>
      <c r="T117" s="46"/>
    </row>
    <row r="118" spans="1:20 16362:16362" s="31" customFormat="1" ht="36.950000000000003" customHeight="1">
      <c r="A118" s="56" t="s">
        <v>144</v>
      </c>
      <c r="B118" s="29" t="s">
        <v>88</v>
      </c>
      <c r="C118" s="30">
        <v>1</v>
      </c>
      <c r="D118" s="30">
        <v>9600000</v>
      </c>
      <c r="E118" s="30">
        <f>D118/$A$3</f>
        <v>14635.105654791396</v>
      </c>
      <c r="F118" s="30">
        <f>C118*D118</f>
        <v>9600000</v>
      </c>
      <c r="G118" s="13">
        <f t="shared" ref="G118:G132" si="146">+F118/655.957</f>
        <v>14635.105654791396</v>
      </c>
      <c r="H118" s="30">
        <v>0</v>
      </c>
      <c r="I118" s="30">
        <v>9600000</v>
      </c>
      <c r="J118" s="30">
        <f>I118/$A$3</f>
        <v>14635.105654791396</v>
      </c>
      <c r="K118" s="30">
        <f>H118*I118</f>
        <v>0</v>
      </c>
      <c r="L118" s="13">
        <f t="shared" ref="L118" si="147">+K118/655.957</f>
        <v>0</v>
      </c>
      <c r="M118" s="30"/>
      <c r="N118" s="30"/>
      <c r="O118" s="30"/>
      <c r="P118" s="13">
        <v>0</v>
      </c>
      <c r="Q118" s="13">
        <f t="shared" ref="Q118:S146" si="148">+P118/655.957</f>
        <v>0</v>
      </c>
      <c r="R118" s="13">
        <f>+K118-P118</f>
        <v>0</v>
      </c>
      <c r="S118" s="13">
        <f t="shared" si="148"/>
        <v>0</v>
      </c>
      <c r="T118" s="46"/>
    </row>
    <row r="119" spans="1:20 16362:16362" s="31" customFormat="1" ht="36.950000000000003" customHeight="1">
      <c r="A119" s="56" t="s">
        <v>145</v>
      </c>
      <c r="B119" s="29"/>
      <c r="C119" s="30"/>
      <c r="D119" s="30"/>
      <c r="E119" s="30"/>
      <c r="F119" s="30">
        <f>SUM(F120:F124)</f>
        <v>15000000</v>
      </c>
      <c r="G119" s="30">
        <f>SUM(G120:G124)</f>
        <v>22867.352585611559</v>
      </c>
      <c r="H119" s="30"/>
      <c r="I119" s="30"/>
      <c r="J119" s="30"/>
      <c r="K119" s="30">
        <f>SUM(K120:K124)</f>
        <v>12400000</v>
      </c>
      <c r="L119" s="30">
        <f>SUM(L120:L124)</f>
        <v>18903.678137438888</v>
      </c>
      <c r="M119" s="30"/>
      <c r="N119" s="30"/>
      <c r="O119" s="30">
        <f>SUM(O120:O124)</f>
        <v>12400000</v>
      </c>
      <c r="P119" s="30">
        <f>SUM(P120:P124)</f>
        <v>10525892.059999999</v>
      </c>
      <c r="Q119" s="30">
        <f>SUM(Q120:Q124)</f>
        <v>16046.619000940609</v>
      </c>
      <c r="R119" s="30">
        <f>SUM(R120:R124)</f>
        <v>1874107.9400000006</v>
      </c>
      <c r="S119" s="30">
        <f>SUM(S120:S124)</f>
        <v>2857.0591364982774</v>
      </c>
      <c r="T119" s="46">
        <f>+P119/K119</f>
        <v>0.84886226290322575</v>
      </c>
    </row>
    <row r="120" spans="1:20 16362:16362" s="6" customFormat="1" ht="36.950000000000003" customHeight="1">
      <c r="A120" s="70" t="s">
        <v>146</v>
      </c>
      <c r="B120" s="15" t="s">
        <v>88</v>
      </c>
      <c r="C120" s="25">
        <v>1</v>
      </c>
      <c r="D120" s="38">
        <v>500000</v>
      </c>
      <c r="E120" s="34">
        <f>D120/$A$3</f>
        <v>762.24508618705192</v>
      </c>
      <c r="F120" s="38">
        <f t="shared" ref="F120:F132" si="149">C120*D120</f>
        <v>500000</v>
      </c>
      <c r="G120" s="38">
        <f t="shared" si="146"/>
        <v>762.24508618705192</v>
      </c>
      <c r="H120" s="25">
        <v>0</v>
      </c>
      <c r="I120" s="38">
        <v>500000</v>
      </c>
      <c r="J120" s="34">
        <f>I120/$A$3</f>
        <v>762.24508618705192</v>
      </c>
      <c r="K120" s="38">
        <f t="shared" ref="K120:K125" si="150">H120*I120</f>
        <v>0</v>
      </c>
      <c r="L120" s="38">
        <f t="shared" ref="L120:L125" si="151">+K120/655.957</f>
        <v>0</v>
      </c>
      <c r="M120" s="38"/>
      <c r="N120" s="38"/>
      <c r="O120" s="38">
        <f>+K120</f>
        <v>0</v>
      </c>
      <c r="P120" s="38"/>
      <c r="Q120" s="16">
        <f t="shared" si="148"/>
        <v>0</v>
      </c>
      <c r="R120" s="16">
        <f>+K120-P120</f>
        <v>0</v>
      </c>
      <c r="S120" s="16">
        <f t="shared" ref="S120:S146" si="152">+R120/655.957</f>
        <v>0</v>
      </c>
      <c r="T120" s="43" t="e">
        <f>+P120/K120</f>
        <v>#DIV/0!</v>
      </c>
    </row>
    <row r="121" spans="1:20 16362:16362" s="6" customFormat="1" ht="27.6" customHeight="1">
      <c r="A121" s="70" t="s">
        <v>147</v>
      </c>
      <c r="B121" s="15" t="s">
        <v>88</v>
      </c>
      <c r="C121" s="25">
        <v>1</v>
      </c>
      <c r="D121" s="38">
        <v>1500000</v>
      </c>
      <c r="E121" s="34">
        <f>D121/$A$3</f>
        <v>2286.7352585611557</v>
      </c>
      <c r="F121" s="38">
        <f t="shared" si="149"/>
        <v>1500000</v>
      </c>
      <c r="G121" s="38">
        <f t="shared" si="146"/>
        <v>2286.7352585611557</v>
      </c>
      <c r="H121" s="25">
        <v>0</v>
      </c>
      <c r="I121" s="38">
        <v>1500000</v>
      </c>
      <c r="J121" s="34">
        <f>I121/$A$3</f>
        <v>2286.7352585611557</v>
      </c>
      <c r="K121" s="38">
        <f t="shared" si="150"/>
        <v>0</v>
      </c>
      <c r="L121" s="38">
        <f t="shared" si="151"/>
        <v>0</v>
      </c>
      <c r="M121" s="38"/>
      <c r="N121" s="38"/>
      <c r="O121" s="38">
        <f t="shared" ref="O121:O124" si="153">+K121</f>
        <v>0</v>
      </c>
      <c r="P121" s="38"/>
      <c r="Q121" s="16">
        <f t="shared" si="148"/>
        <v>0</v>
      </c>
      <c r="R121" s="16">
        <f>+K121-P121</f>
        <v>0</v>
      </c>
      <c r="S121" s="16">
        <f t="shared" si="152"/>
        <v>0</v>
      </c>
      <c r="T121" s="43" t="e">
        <f>+P121/K121</f>
        <v>#DIV/0!</v>
      </c>
    </row>
    <row r="122" spans="1:20 16362:16362" s="6" customFormat="1" ht="27.6" customHeight="1">
      <c r="A122" s="70" t="s">
        <v>148</v>
      </c>
      <c r="B122" s="15" t="s">
        <v>88</v>
      </c>
      <c r="C122" s="25">
        <v>1</v>
      </c>
      <c r="D122" s="38">
        <v>600000</v>
      </c>
      <c r="E122" s="34">
        <f>D122/$A$3</f>
        <v>914.69410342446224</v>
      </c>
      <c r="F122" s="38">
        <f t="shared" si="149"/>
        <v>600000</v>
      </c>
      <c r="G122" s="38">
        <f t="shared" si="146"/>
        <v>914.69410342446224</v>
      </c>
      <c r="H122" s="25">
        <v>0</v>
      </c>
      <c r="I122" s="38">
        <v>600000</v>
      </c>
      <c r="J122" s="34">
        <f>I122/$A$3</f>
        <v>914.69410342446224</v>
      </c>
      <c r="K122" s="38">
        <f t="shared" si="150"/>
        <v>0</v>
      </c>
      <c r="L122" s="38">
        <f t="shared" si="151"/>
        <v>0</v>
      </c>
      <c r="M122" s="38"/>
      <c r="N122" s="38"/>
      <c r="O122" s="38">
        <f t="shared" si="153"/>
        <v>0</v>
      </c>
      <c r="P122" s="38"/>
      <c r="Q122" s="16">
        <f t="shared" si="148"/>
        <v>0</v>
      </c>
      <c r="R122" s="16">
        <f>+K122-P122</f>
        <v>0</v>
      </c>
      <c r="S122" s="16">
        <f t="shared" si="152"/>
        <v>0</v>
      </c>
      <c r="T122" s="43" t="e">
        <f>+P122/K122</f>
        <v>#DIV/0!</v>
      </c>
    </row>
    <row r="123" spans="1:20 16362:16362" s="6" customFormat="1" ht="27.6" customHeight="1">
      <c r="A123" s="70" t="s">
        <v>149</v>
      </c>
      <c r="B123" s="15" t="s">
        <v>73</v>
      </c>
      <c r="C123" s="25">
        <v>8</v>
      </c>
      <c r="D123" s="38">
        <v>300000</v>
      </c>
      <c r="E123" s="34">
        <f>D123/$A$3</f>
        <v>457.34705171223112</v>
      </c>
      <c r="F123" s="38">
        <f t="shared" si="149"/>
        <v>2400000</v>
      </c>
      <c r="G123" s="38">
        <f t="shared" si="146"/>
        <v>3658.776413697849</v>
      </c>
      <c r="H123" s="25">
        <v>8</v>
      </c>
      <c r="I123" s="38">
        <v>300000</v>
      </c>
      <c r="J123" s="34">
        <f>I123/$A$3</f>
        <v>457.34705171223112</v>
      </c>
      <c r="K123" s="38">
        <f>H123*I123</f>
        <v>2400000</v>
      </c>
      <c r="L123" s="38">
        <f>+K123/655.957</f>
        <v>3658.776413697849</v>
      </c>
      <c r="M123" s="38"/>
      <c r="N123" s="38"/>
      <c r="O123" s="38">
        <f t="shared" si="153"/>
        <v>2400000</v>
      </c>
      <c r="P123" s="38">
        <v>1254873.95</v>
      </c>
      <c r="Q123" s="16">
        <f t="shared" si="148"/>
        <v>1913.0430043432725</v>
      </c>
      <c r="R123" s="16">
        <f>+K123-P123</f>
        <v>1145126.05</v>
      </c>
      <c r="S123" s="16">
        <f t="shared" si="152"/>
        <v>1745.7334093545767</v>
      </c>
      <c r="T123" s="43">
        <f>+P123/K123</f>
        <v>0.52286414583333329</v>
      </c>
    </row>
    <row r="124" spans="1:20 16362:16362" s="6" customFormat="1" ht="27.6" customHeight="1">
      <c r="A124" s="70" t="s">
        <v>150</v>
      </c>
      <c r="B124" s="15" t="s">
        <v>88</v>
      </c>
      <c r="C124" s="25">
        <v>1</v>
      </c>
      <c r="D124" s="38">
        <v>10000000</v>
      </c>
      <c r="E124" s="34">
        <f>D124/$A$3</f>
        <v>15244.901723741039</v>
      </c>
      <c r="F124" s="38">
        <f t="shared" si="149"/>
        <v>10000000</v>
      </c>
      <c r="G124" s="38">
        <f t="shared" si="146"/>
        <v>15244.901723741039</v>
      </c>
      <c r="H124" s="25">
        <v>1</v>
      </c>
      <c r="I124" s="38">
        <v>10000000</v>
      </c>
      <c r="J124" s="34">
        <f>I124/$A$3</f>
        <v>15244.901723741039</v>
      </c>
      <c r="K124" s="38">
        <f t="shared" si="150"/>
        <v>10000000</v>
      </c>
      <c r="L124" s="38">
        <f t="shared" si="151"/>
        <v>15244.901723741039</v>
      </c>
      <c r="M124" s="38"/>
      <c r="N124" s="38"/>
      <c r="O124" s="38">
        <f t="shared" si="153"/>
        <v>10000000</v>
      </c>
      <c r="P124" s="38">
        <v>9271018.1099999994</v>
      </c>
      <c r="Q124" s="16">
        <f t="shared" si="148"/>
        <v>14133.575996597338</v>
      </c>
      <c r="R124" s="16">
        <f>+K124-P124</f>
        <v>728981.8900000006</v>
      </c>
      <c r="S124" s="16">
        <f t="shared" si="152"/>
        <v>1111.325727143701</v>
      </c>
      <c r="T124" s="43">
        <f>+P124/K124</f>
        <v>0.92710181099999989</v>
      </c>
    </row>
    <row r="125" spans="1:20 16362:16362" s="31" customFormat="1" ht="38.450000000000003" customHeight="1" collapsed="1">
      <c r="A125" s="56" t="s">
        <v>151</v>
      </c>
      <c r="B125" s="29" t="s">
        <v>88</v>
      </c>
      <c r="C125" s="30">
        <v>0</v>
      </c>
      <c r="D125" s="30">
        <v>0</v>
      </c>
      <c r="E125" s="30"/>
      <c r="F125" s="30">
        <f t="shared" si="149"/>
        <v>0</v>
      </c>
      <c r="G125" s="30">
        <f t="shared" si="146"/>
        <v>0</v>
      </c>
      <c r="H125" s="30">
        <v>0</v>
      </c>
      <c r="I125" s="30">
        <v>0</v>
      </c>
      <c r="J125" s="30"/>
      <c r="K125" s="30">
        <f t="shared" si="150"/>
        <v>0</v>
      </c>
      <c r="L125" s="30">
        <f t="shared" si="151"/>
        <v>0</v>
      </c>
      <c r="M125" s="30"/>
      <c r="N125" s="30"/>
      <c r="O125" s="30"/>
      <c r="P125" s="30"/>
      <c r="Q125" s="13"/>
      <c r="R125" s="13"/>
      <c r="S125" s="13"/>
      <c r="T125" s="46"/>
    </row>
    <row r="126" spans="1:20 16362:16362" s="31" customFormat="1" ht="38.450000000000003" customHeight="1">
      <c r="A126" s="56" t="s">
        <v>152</v>
      </c>
      <c r="B126" s="29" t="s">
        <v>88</v>
      </c>
      <c r="C126" s="30">
        <v>0</v>
      </c>
      <c r="D126" s="30"/>
      <c r="E126" s="30"/>
      <c r="F126" s="30">
        <f>SUM(F127:F132)</f>
        <v>308000000</v>
      </c>
      <c r="G126" s="30">
        <f>SUM(G127:G132)</f>
        <v>469542.97309122403</v>
      </c>
      <c r="H126" s="30">
        <v>0</v>
      </c>
      <c r="I126" s="30"/>
      <c r="J126" s="30"/>
      <c r="K126" s="30">
        <f t="shared" ref="K126:Q126" si="154">SUM(K127:K132)</f>
        <v>69750000</v>
      </c>
      <c r="L126" s="30">
        <f t="shared" si="154"/>
        <v>106333.18952309374</v>
      </c>
      <c r="M126" s="30">
        <f t="shared" si="154"/>
        <v>0</v>
      </c>
      <c r="N126" s="30">
        <f t="shared" si="154"/>
        <v>69750000</v>
      </c>
      <c r="O126" s="30">
        <f t="shared" si="154"/>
        <v>0</v>
      </c>
      <c r="P126" s="30">
        <f>SUM(P127:P132)</f>
        <v>70753980</v>
      </c>
      <c r="Q126" s="30">
        <f t="shared" si="154"/>
        <v>107863.7471663539</v>
      </c>
      <c r="R126" s="30">
        <f>SUM(R127:R132)</f>
        <v>-1003980</v>
      </c>
      <c r="S126" s="30">
        <f>SUM(S127:S132)</f>
        <v>-1530.5576432601526</v>
      </c>
      <c r="T126" s="46"/>
    </row>
    <row r="127" spans="1:20 16362:16362" s="36" customFormat="1" ht="27.6" customHeight="1">
      <c r="A127" s="69" t="s">
        <v>153</v>
      </c>
      <c r="B127" s="26" t="s">
        <v>88</v>
      </c>
      <c r="C127" s="34">
        <v>3</v>
      </c>
      <c r="D127" s="34">
        <v>4000000</v>
      </c>
      <c r="E127" s="34">
        <f t="shared" ref="E127:E132" si="155">D127/$A$3</f>
        <v>6097.9606894964154</v>
      </c>
      <c r="F127" s="34">
        <f t="shared" si="149"/>
        <v>12000000</v>
      </c>
      <c r="G127" s="34">
        <f t="shared" si="146"/>
        <v>18293.882068489245</v>
      </c>
      <c r="H127" s="34">
        <v>1</v>
      </c>
      <c r="I127" s="34">
        <v>4000000</v>
      </c>
      <c r="J127" s="34">
        <f t="shared" ref="J127:J132" si="156">I127/$A$3</f>
        <v>6097.9606894964154</v>
      </c>
      <c r="K127" s="34">
        <f t="shared" ref="K127:K128" si="157">H127*I127</f>
        <v>4000000</v>
      </c>
      <c r="L127" s="34">
        <f t="shared" ref="L127:L128" si="158">+K127/655.957</f>
        <v>6097.9606894964154</v>
      </c>
      <c r="M127" s="34"/>
      <c r="N127" s="34">
        <f>+K127</f>
        <v>4000000</v>
      </c>
      <c r="O127" s="34"/>
      <c r="P127" s="34">
        <v>3270867</v>
      </c>
      <c r="Q127" s="16">
        <f t="shared" si="148"/>
        <v>4986.4045966427675</v>
      </c>
      <c r="R127" s="16">
        <f t="shared" ref="R127:R131" si="159">+K127-P127</f>
        <v>729133</v>
      </c>
      <c r="S127" s="16">
        <f t="shared" si="152"/>
        <v>1111.5560928536474</v>
      </c>
      <c r="T127" s="43">
        <f>+P127/K127</f>
        <v>0.81771674999999999</v>
      </c>
      <c r="XEH127" s="36">
        <f>SUM(C127:XEG127)</f>
        <v>32042690.542543225</v>
      </c>
    </row>
    <row r="128" spans="1:20 16362:16362" s="36" customFormat="1" ht="27.6" customHeight="1">
      <c r="A128" s="69" t="s">
        <v>154</v>
      </c>
      <c r="B128" s="26" t="s">
        <v>88</v>
      </c>
      <c r="C128" s="34">
        <v>5</v>
      </c>
      <c r="D128" s="34">
        <v>45000000</v>
      </c>
      <c r="E128" s="34">
        <f t="shared" si="155"/>
        <v>68602.057756834678</v>
      </c>
      <c r="F128" s="34">
        <f t="shared" si="149"/>
        <v>225000000</v>
      </c>
      <c r="G128" s="34">
        <f t="shared" si="146"/>
        <v>343010.28878417338</v>
      </c>
      <c r="H128" s="34">
        <v>1</v>
      </c>
      <c r="I128" s="34">
        <v>45000000</v>
      </c>
      <c r="J128" s="34">
        <f t="shared" si="156"/>
        <v>68602.057756834678</v>
      </c>
      <c r="K128" s="34">
        <f t="shared" si="157"/>
        <v>45000000</v>
      </c>
      <c r="L128" s="34">
        <f t="shared" si="158"/>
        <v>68602.057756834678</v>
      </c>
      <c r="M128" s="34"/>
      <c r="N128" s="34">
        <f t="shared" ref="N128:N132" si="160">+K128</f>
        <v>45000000</v>
      </c>
      <c r="O128" s="34"/>
      <c r="P128" s="34">
        <v>47411634</v>
      </c>
      <c r="Q128" s="16">
        <f t="shared" si="148"/>
        <v>72278.570089197921</v>
      </c>
      <c r="R128" s="16">
        <f t="shared" si="159"/>
        <v>-2411634</v>
      </c>
      <c r="S128" s="16">
        <f t="shared" si="152"/>
        <v>-3676.5123323632492</v>
      </c>
      <c r="T128" s="43">
        <f>+P128/K128</f>
        <v>1.0535918666666666</v>
      </c>
      <c r="XEH128" s="36">
        <f>SUM(C128:XEG128)</f>
        <v>450617425.57340336</v>
      </c>
    </row>
    <row r="129" spans="1:20 16362:16362" s="6" customFormat="1" ht="27.6" customHeight="1" collapsed="1">
      <c r="A129" s="69" t="s">
        <v>155</v>
      </c>
      <c r="B129" s="15" t="s">
        <v>2</v>
      </c>
      <c r="C129" s="25">
        <v>1</v>
      </c>
      <c r="D129" s="38">
        <v>5000000</v>
      </c>
      <c r="E129" s="34">
        <f t="shared" si="155"/>
        <v>7622.4508618705195</v>
      </c>
      <c r="F129" s="38">
        <f>C129*D129</f>
        <v>5000000</v>
      </c>
      <c r="G129" s="38">
        <f>F129/$A$3</f>
        <v>7622.4508618705195</v>
      </c>
      <c r="H129" s="25">
        <v>0.5</v>
      </c>
      <c r="I129" s="38">
        <v>5000000</v>
      </c>
      <c r="J129" s="34">
        <f t="shared" si="156"/>
        <v>7622.4508618705195</v>
      </c>
      <c r="K129" s="38">
        <f>H129*I129</f>
        <v>2500000</v>
      </c>
      <c r="L129" s="38">
        <f>K129/$A$3</f>
        <v>3811.2254309352597</v>
      </c>
      <c r="M129" s="38"/>
      <c r="N129" s="34">
        <f t="shared" si="160"/>
        <v>2500000</v>
      </c>
      <c r="O129" s="38"/>
      <c r="P129" s="38">
        <v>2310000</v>
      </c>
      <c r="Q129" s="16">
        <f t="shared" si="148"/>
        <v>3521.57229818418</v>
      </c>
      <c r="R129" s="16">
        <f t="shared" si="159"/>
        <v>190000</v>
      </c>
      <c r="S129" s="16">
        <f t="shared" si="152"/>
        <v>289.65313275107974</v>
      </c>
      <c r="T129" s="43">
        <f>+P129/K129</f>
        <v>0.92400000000000004</v>
      </c>
    </row>
    <row r="130" spans="1:20 16362:16362" s="36" customFormat="1" ht="27.6" customHeight="1">
      <c r="A130" s="69" t="s">
        <v>156</v>
      </c>
      <c r="B130" s="26" t="s">
        <v>88</v>
      </c>
      <c r="C130" s="34">
        <v>8</v>
      </c>
      <c r="D130" s="34">
        <v>3000000</v>
      </c>
      <c r="E130" s="34">
        <f t="shared" si="155"/>
        <v>4573.4705171223113</v>
      </c>
      <c r="F130" s="34">
        <f t="shared" si="149"/>
        <v>24000000</v>
      </c>
      <c r="G130" s="34">
        <f t="shared" si="146"/>
        <v>36587.764136978491</v>
      </c>
      <c r="H130" s="34">
        <v>2</v>
      </c>
      <c r="I130" s="34">
        <v>3000000</v>
      </c>
      <c r="J130" s="34">
        <f t="shared" si="156"/>
        <v>4573.4705171223113</v>
      </c>
      <c r="K130" s="34">
        <f t="shared" ref="K130:K132" si="161">H130*I130</f>
        <v>6000000</v>
      </c>
      <c r="L130" s="34">
        <f t="shared" ref="L130:L132" si="162">+K130/655.957</f>
        <v>9146.9410342446226</v>
      </c>
      <c r="M130" s="34"/>
      <c r="N130" s="34">
        <f t="shared" si="160"/>
        <v>6000000</v>
      </c>
      <c r="O130" s="34"/>
      <c r="P130" s="34">
        <v>5200000</v>
      </c>
      <c r="Q130" s="16">
        <f t="shared" si="148"/>
        <v>7927.3488963453401</v>
      </c>
      <c r="R130" s="16">
        <f t="shared" si="159"/>
        <v>800000</v>
      </c>
      <c r="S130" s="16">
        <f t="shared" si="152"/>
        <v>1219.592137899283</v>
      </c>
      <c r="T130" s="43">
        <f>+P130/K130</f>
        <v>0.8666666666666667</v>
      </c>
      <c r="XEH130" s="36">
        <f>SUM(C130:XEG130)</f>
        <v>48064039.45390638</v>
      </c>
    </row>
    <row r="131" spans="1:20 16362:16362" s="36" customFormat="1" ht="27.6" customHeight="1">
      <c r="A131" s="69" t="s">
        <v>157</v>
      </c>
      <c r="B131" s="26" t="s">
        <v>88</v>
      </c>
      <c r="C131" s="34">
        <v>4</v>
      </c>
      <c r="D131" s="34">
        <v>3500000</v>
      </c>
      <c r="E131" s="34">
        <f t="shared" si="155"/>
        <v>5335.7156033093634</v>
      </c>
      <c r="F131" s="34">
        <f t="shared" si="149"/>
        <v>14000000</v>
      </c>
      <c r="G131" s="34">
        <f t="shared" si="146"/>
        <v>21342.862413237453</v>
      </c>
      <c r="H131" s="34">
        <v>1.5</v>
      </c>
      <c r="I131" s="34">
        <v>3500000</v>
      </c>
      <c r="J131" s="34">
        <f t="shared" si="156"/>
        <v>5335.7156033093634</v>
      </c>
      <c r="K131" s="34">
        <f t="shared" si="161"/>
        <v>5250000</v>
      </c>
      <c r="L131" s="34">
        <f t="shared" si="162"/>
        <v>8003.573404964045</v>
      </c>
      <c r="M131" s="34"/>
      <c r="N131" s="34">
        <f t="shared" si="160"/>
        <v>5250000</v>
      </c>
      <c r="O131" s="34"/>
      <c r="P131" s="34">
        <v>5108379</v>
      </c>
      <c r="Q131" s="16">
        <f t="shared" si="148"/>
        <v>7787.6735822622522</v>
      </c>
      <c r="R131" s="16">
        <f t="shared" si="159"/>
        <v>141621</v>
      </c>
      <c r="S131" s="16">
        <f t="shared" si="152"/>
        <v>215.89982270179294</v>
      </c>
      <c r="T131" s="43">
        <f>+P131/K131</f>
        <v>0.97302457142857146</v>
      </c>
      <c r="XEH131" s="36">
        <f>SUM(C131:XEG131)</f>
        <v>36798027.913454361</v>
      </c>
    </row>
    <row r="132" spans="1:20 16362:16362" s="36" customFormat="1" ht="27.6" customHeight="1">
      <c r="A132" s="69" t="s">
        <v>158</v>
      </c>
      <c r="B132" s="26" t="s">
        <v>88</v>
      </c>
      <c r="C132" s="34">
        <v>4</v>
      </c>
      <c r="D132" s="34">
        <v>7000000</v>
      </c>
      <c r="E132" s="34">
        <f t="shared" si="155"/>
        <v>10671.431206618727</v>
      </c>
      <c r="F132" s="34">
        <f t="shared" si="149"/>
        <v>28000000</v>
      </c>
      <c r="G132" s="34">
        <f t="shared" si="146"/>
        <v>42685.724826474907</v>
      </c>
      <c r="H132" s="34">
        <v>1</v>
      </c>
      <c r="I132" s="34">
        <v>7000000</v>
      </c>
      <c r="J132" s="34">
        <f t="shared" si="156"/>
        <v>10671.431206618727</v>
      </c>
      <c r="K132" s="34">
        <f t="shared" si="161"/>
        <v>7000000</v>
      </c>
      <c r="L132" s="34">
        <f t="shared" si="162"/>
        <v>10671.431206618727</v>
      </c>
      <c r="M132" s="34"/>
      <c r="N132" s="34">
        <f t="shared" si="160"/>
        <v>7000000</v>
      </c>
      <c r="O132" s="34"/>
      <c r="P132" s="34">
        <v>7453100</v>
      </c>
      <c r="Q132" s="16">
        <f t="shared" si="148"/>
        <v>11362.177703721432</v>
      </c>
      <c r="R132" s="16">
        <f>+K132-P132</f>
        <v>-453100</v>
      </c>
      <c r="S132" s="16">
        <f t="shared" si="152"/>
        <v>-690.74649710270648</v>
      </c>
      <c r="T132" s="43">
        <f>+P132/K132</f>
        <v>1.0647285714285715</v>
      </c>
      <c r="XEH132" s="36">
        <f>SUM(C132:XEG132)</f>
        <v>63085377.514381535</v>
      </c>
    </row>
    <row r="133" spans="1:20 16362:16362" s="31" customFormat="1" ht="27.6" customHeight="1" collapsed="1">
      <c r="A133" s="56" t="s">
        <v>159</v>
      </c>
      <c r="B133" s="29" t="s">
        <v>88</v>
      </c>
      <c r="C133" s="30"/>
      <c r="D133" s="30"/>
      <c r="E133" s="30"/>
      <c r="F133" s="30">
        <f>SUM(F134:F139)</f>
        <v>69915000</v>
      </c>
      <c r="G133" s="30">
        <f>SUM(G134:G139)</f>
        <v>106584.73040153547</v>
      </c>
      <c r="H133" s="30"/>
      <c r="I133" s="30"/>
      <c r="J133" s="30"/>
      <c r="K133" s="30">
        <f>SUM(K134:K141)</f>
        <v>23400000</v>
      </c>
      <c r="L133" s="30">
        <f>SUM(L134:L140)</f>
        <v>30489.803447482074</v>
      </c>
      <c r="M133" s="30">
        <f t="shared" ref="M133:O133" si="163">SUM(M134:M139)</f>
        <v>0</v>
      </c>
      <c r="N133" s="30">
        <f t="shared" si="163"/>
        <v>0</v>
      </c>
      <c r="O133" s="30">
        <f t="shared" si="163"/>
        <v>5000000</v>
      </c>
      <c r="P133" s="30">
        <f>SUM(P134:P141)</f>
        <v>23090800.879999999</v>
      </c>
      <c r="Q133" s="30">
        <f>SUM(Q134:Q141)</f>
        <v>35201.699013807309</v>
      </c>
      <c r="R133" s="30">
        <f>SUM(R134:R141)</f>
        <v>309199.12000000081</v>
      </c>
      <c r="S133" s="30">
        <f>SUM(S134:S141)</f>
        <v>471.37101974672214</v>
      </c>
      <c r="T133" s="46"/>
    </row>
    <row r="134" spans="1:20 16362:16362" s="36" customFormat="1" ht="27.6" customHeight="1">
      <c r="A134" s="69" t="s">
        <v>160</v>
      </c>
      <c r="B134" s="26" t="s">
        <v>88</v>
      </c>
      <c r="C134" s="34">
        <v>1</v>
      </c>
      <c r="D134" s="34">
        <v>500000</v>
      </c>
      <c r="E134" s="34">
        <f t="shared" ref="E134:E146" si="164">D134/$A$3</f>
        <v>762.24508618705192</v>
      </c>
      <c r="F134" s="34">
        <f t="shared" ref="F134:F138" si="165">C134*D134</f>
        <v>500000</v>
      </c>
      <c r="G134" s="34">
        <f t="shared" ref="G134:G146" si="166">+F134/655.957</f>
        <v>762.24508618705192</v>
      </c>
      <c r="H134" s="34">
        <v>0</v>
      </c>
      <c r="I134" s="34">
        <v>500000</v>
      </c>
      <c r="J134" s="34">
        <f t="shared" ref="J134:J142" si="167">I134/$A$3</f>
        <v>762.24508618705192</v>
      </c>
      <c r="K134" s="34">
        <f t="shared" ref="K134:K138" si="168">H134*I134</f>
        <v>0</v>
      </c>
      <c r="L134" s="34">
        <f t="shared" ref="L134:L139" si="169">+K134/655.957</f>
        <v>0</v>
      </c>
      <c r="M134" s="34"/>
      <c r="N134" s="34"/>
      <c r="O134" s="34">
        <f>+K134</f>
        <v>0</v>
      </c>
      <c r="P134" s="34"/>
      <c r="Q134" s="16">
        <f t="shared" si="148"/>
        <v>0</v>
      </c>
      <c r="R134" s="16">
        <f t="shared" ref="R134:R139" si="170">+K134-P134</f>
        <v>0</v>
      </c>
      <c r="S134" s="16">
        <f t="shared" si="152"/>
        <v>0</v>
      </c>
      <c r="T134" s="43" t="e">
        <f>+P134/K134</f>
        <v>#DIV/0!</v>
      </c>
    </row>
    <row r="135" spans="1:20 16362:16362" s="36" customFormat="1" ht="27.6" customHeight="1">
      <c r="A135" s="69" t="s">
        <v>161</v>
      </c>
      <c r="B135" s="26" t="s">
        <v>88</v>
      </c>
      <c r="C135" s="34">
        <v>1</v>
      </c>
      <c r="D135" s="34">
        <v>1815000</v>
      </c>
      <c r="E135" s="34">
        <f t="shared" si="164"/>
        <v>2766.9496628589982</v>
      </c>
      <c r="F135" s="34">
        <f t="shared" si="165"/>
        <v>1815000</v>
      </c>
      <c r="G135" s="34">
        <f t="shared" si="166"/>
        <v>2766.9496628589982</v>
      </c>
      <c r="H135" s="34">
        <v>0</v>
      </c>
      <c r="I135" s="34">
        <v>1815000</v>
      </c>
      <c r="J135" s="34">
        <f t="shared" si="167"/>
        <v>2766.9496628589982</v>
      </c>
      <c r="K135" s="34">
        <f t="shared" si="168"/>
        <v>0</v>
      </c>
      <c r="L135" s="34">
        <f t="shared" si="169"/>
        <v>0</v>
      </c>
      <c r="M135" s="34"/>
      <c r="N135" s="34"/>
      <c r="O135" s="34">
        <f t="shared" ref="O135:O139" si="171">+K135</f>
        <v>0</v>
      </c>
      <c r="P135" s="34"/>
      <c r="Q135" s="16">
        <f t="shared" si="148"/>
        <v>0</v>
      </c>
      <c r="R135" s="16">
        <f t="shared" si="170"/>
        <v>0</v>
      </c>
      <c r="S135" s="16">
        <f t="shared" si="152"/>
        <v>0</v>
      </c>
      <c r="T135" s="43" t="e">
        <f>+P135/K135</f>
        <v>#DIV/0!</v>
      </c>
    </row>
    <row r="136" spans="1:20 16362:16362" s="36" customFormat="1" ht="27.6" customHeight="1">
      <c r="A136" s="69" t="s">
        <v>162</v>
      </c>
      <c r="B136" s="26" t="s">
        <v>88</v>
      </c>
      <c r="C136" s="34">
        <v>1</v>
      </c>
      <c r="D136" s="34">
        <v>33000000</v>
      </c>
      <c r="E136" s="34">
        <f t="shared" si="164"/>
        <v>50308.175688345429</v>
      </c>
      <c r="F136" s="34">
        <f t="shared" si="165"/>
        <v>33000000</v>
      </c>
      <c r="G136" s="34">
        <f t="shared" si="166"/>
        <v>50308.175688345429</v>
      </c>
      <c r="H136" s="34">
        <v>0</v>
      </c>
      <c r="I136" s="34">
        <v>33000000</v>
      </c>
      <c r="J136" s="34">
        <f t="shared" si="167"/>
        <v>50308.175688345429</v>
      </c>
      <c r="K136" s="34">
        <f t="shared" si="168"/>
        <v>0</v>
      </c>
      <c r="L136" s="34">
        <f t="shared" si="169"/>
        <v>0</v>
      </c>
      <c r="M136" s="34"/>
      <c r="N136" s="34"/>
      <c r="O136" s="34">
        <f t="shared" si="171"/>
        <v>0</v>
      </c>
      <c r="P136" s="34">
        <v>1272008.8600000001</v>
      </c>
      <c r="Q136" s="16">
        <f t="shared" si="148"/>
        <v>1939.1650062427875</v>
      </c>
      <c r="R136" s="16">
        <f t="shared" si="170"/>
        <v>-1272008.8600000001</v>
      </c>
      <c r="S136" s="16">
        <f t="shared" si="152"/>
        <v>-1939.1650062427875</v>
      </c>
      <c r="T136" s="43" t="e">
        <f>+P136/K136</f>
        <v>#DIV/0!</v>
      </c>
    </row>
    <row r="137" spans="1:20 16362:16362" s="36" customFormat="1" ht="27.6" customHeight="1">
      <c r="A137" s="69" t="s">
        <v>163</v>
      </c>
      <c r="B137" s="26" t="s">
        <v>88</v>
      </c>
      <c r="C137" s="34">
        <v>1</v>
      </c>
      <c r="D137" s="34">
        <v>4600000</v>
      </c>
      <c r="E137" s="34">
        <f t="shared" si="164"/>
        <v>7012.6547929208773</v>
      </c>
      <c r="F137" s="34">
        <f t="shared" si="165"/>
        <v>4600000</v>
      </c>
      <c r="G137" s="34">
        <f t="shared" si="166"/>
        <v>7012.6547929208773</v>
      </c>
      <c r="H137" s="34">
        <v>0</v>
      </c>
      <c r="I137" s="34">
        <v>4600000</v>
      </c>
      <c r="J137" s="34">
        <f t="shared" si="167"/>
        <v>7012.6547929208773</v>
      </c>
      <c r="K137" s="34">
        <f t="shared" si="168"/>
        <v>0</v>
      </c>
      <c r="L137" s="34">
        <f t="shared" si="169"/>
        <v>0</v>
      </c>
      <c r="M137" s="34"/>
      <c r="N137" s="34"/>
      <c r="O137" s="34">
        <f t="shared" si="171"/>
        <v>0</v>
      </c>
      <c r="P137" s="34"/>
      <c r="Q137" s="16">
        <f t="shared" si="148"/>
        <v>0</v>
      </c>
      <c r="R137" s="16">
        <f t="shared" si="170"/>
        <v>0</v>
      </c>
      <c r="S137" s="16">
        <f t="shared" si="152"/>
        <v>0</v>
      </c>
      <c r="T137" s="43" t="e">
        <f>+P137/K137</f>
        <v>#DIV/0!</v>
      </c>
    </row>
    <row r="138" spans="1:20 16362:16362" s="36" customFormat="1" ht="27.6" customHeight="1">
      <c r="A138" s="69" t="s">
        <v>164</v>
      </c>
      <c r="B138" s="26" t="s">
        <v>88</v>
      </c>
      <c r="C138" s="34">
        <v>1</v>
      </c>
      <c r="D138" s="34">
        <v>10000000</v>
      </c>
      <c r="E138" s="34">
        <f t="shared" si="164"/>
        <v>15244.901723741039</v>
      </c>
      <c r="F138" s="34">
        <f t="shared" si="165"/>
        <v>10000000</v>
      </c>
      <c r="G138" s="34">
        <f t="shared" si="166"/>
        <v>15244.901723741039</v>
      </c>
      <c r="H138" s="34">
        <v>0.5</v>
      </c>
      <c r="I138" s="34">
        <v>10000000</v>
      </c>
      <c r="J138" s="34">
        <f t="shared" si="167"/>
        <v>15244.901723741039</v>
      </c>
      <c r="K138" s="34">
        <f t="shared" si="168"/>
        <v>5000000</v>
      </c>
      <c r="L138" s="34">
        <f t="shared" si="169"/>
        <v>7622.4508618705195</v>
      </c>
      <c r="M138" s="34"/>
      <c r="N138" s="34"/>
      <c r="O138" s="34">
        <f t="shared" si="171"/>
        <v>5000000</v>
      </c>
      <c r="P138" s="34">
        <v>3378992.59</v>
      </c>
      <c r="Q138" s="16">
        <f t="shared" si="148"/>
        <v>5151.2409959799188</v>
      </c>
      <c r="R138" s="16">
        <f>+K138-P138</f>
        <v>1621007.4100000001</v>
      </c>
      <c r="S138" s="16">
        <f t="shared" si="152"/>
        <v>2471.2098658905998</v>
      </c>
      <c r="T138" s="43">
        <f>+P138/K138</f>
        <v>0.67579851800000001</v>
      </c>
    </row>
    <row r="139" spans="1:20 16362:16362" s="35" customFormat="1" ht="39" customHeight="1" collapsed="1">
      <c r="A139" s="69" t="s">
        <v>165</v>
      </c>
      <c r="B139" s="26" t="s">
        <v>88</v>
      </c>
      <c r="C139" s="34">
        <v>1</v>
      </c>
      <c r="D139" s="34">
        <v>20000000</v>
      </c>
      <c r="E139" s="34">
        <f t="shared" si="164"/>
        <v>30489.803447482078</v>
      </c>
      <c r="F139" s="34">
        <f>C139*D139</f>
        <v>20000000</v>
      </c>
      <c r="G139" s="34">
        <f t="shared" si="166"/>
        <v>30489.803447482078</v>
      </c>
      <c r="H139" s="34">
        <v>0</v>
      </c>
      <c r="I139" s="34">
        <v>20000000</v>
      </c>
      <c r="J139" s="34">
        <f t="shared" si="167"/>
        <v>30489.803447482078</v>
      </c>
      <c r="K139" s="34">
        <f>H139*I139</f>
        <v>0</v>
      </c>
      <c r="L139" s="34">
        <f t="shared" si="169"/>
        <v>0</v>
      </c>
      <c r="M139" s="34"/>
      <c r="N139" s="34" t="s">
        <v>2</v>
      </c>
      <c r="O139" s="34">
        <f t="shared" si="171"/>
        <v>0</v>
      </c>
      <c r="P139" s="34">
        <v>1999944.02</v>
      </c>
      <c r="Q139" s="16">
        <f t="shared" si="148"/>
        <v>3048.8950037883583</v>
      </c>
      <c r="R139" s="16">
        <f t="shared" si="170"/>
        <v>-1999944.02</v>
      </c>
      <c r="S139" s="16">
        <f t="shared" si="152"/>
        <v>-3048.8950037883583</v>
      </c>
      <c r="T139" s="43" t="e">
        <f>+P139/K139</f>
        <v>#DIV/0!</v>
      </c>
    </row>
    <row r="140" spans="1:20 16362:16362" s="35" customFormat="1" ht="39" customHeight="1">
      <c r="A140" s="186" t="s">
        <v>166</v>
      </c>
      <c r="B140" s="26"/>
      <c r="C140" s="34"/>
      <c r="D140" s="34"/>
      <c r="E140" s="34"/>
      <c r="F140" s="34"/>
      <c r="G140" s="34"/>
      <c r="H140" s="34">
        <v>1</v>
      </c>
      <c r="I140" s="34">
        <v>15000000</v>
      </c>
      <c r="J140" s="34">
        <f t="shared" ref="J140:J141" si="172">I140/$A$3</f>
        <v>22867.352585611556</v>
      </c>
      <c r="K140" s="34">
        <f>H140*I140</f>
        <v>15000000</v>
      </c>
      <c r="L140" s="34">
        <f t="shared" ref="L140:L141" si="173">+K140/655.957</f>
        <v>22867.352585611556</v>
      </c>
      <c r="M140" s="34"/>
      <c r="N140" s="34" t="s">
        <v>2</v>
      </c>
      <c r="O140" s="34">
        <f t="shared" ref="O140:O141" si="174">+K140</f>
        <v>15000000</v>
      </c>
      <c r="P140" s="34">
        <v>13272301.369999999</v>
      </c>
      <c r="Q140" s="16">
        <f t="shared" ref="Q140:Q141" si="175">+P140/655.957</f>
        <v>20233.493003352352</v>
      </c>
      <c r="R140" s="16">
        <f t="shared" ref="R140:R141" si="176">+K140-P140</f>
        <v>1727698.6300000008</v>
      </c>
      <c r="S140" s="16">
        <f t="shared" ref="S140:S141" si="177">+R140/655.957</f>
        <v>2633.8595822592042</v>
      </c>
      <c r="T140" s="43">
        <f>+P140/K140</f>
        <v>0.88482009133333328</v>
      </c>
    </row>
    <row r="141" spans="1:20 16362:16362" s="35" customFormat="1" ht="39" customHeight="1">
      <c r="A141" s="186" t="s">
        <v>167</v>
      </c>
      <c r="B141" s="26"/>
      <c r="C141" s="34"/>
      <c r="D141" s="34"/>
      <c r="E141" s="34"/>
      <c r="F141" s="34"/>
      <c r="G141" s="34"/>
      <c r="H141" s="34">
        <v>1</v>
      </c>
      <c r="I141" s="34">
        <v>3400000</v>
      </c>
      <c r="J141" s="34">
        <f t="shared" si="172"/>
        <v>5183.2665860719526</v>
      </c>
      <c r="K141" s="34">
        <f>H141*I141</f>
        <v>3400000</v>
      </c>
      <c r="L141" s="34">
        <f t="shared" si="173"/>
        <v>5183.2665860719526</v>
      </c>
      <c r="M141" s="34"/>
      <c r="N141" s="34"/>
      <c r="O141" s="34">
        <f t="shared" si="174"/>
        <v>3400000</v>
      </c>
      <c r="P141" s="34">
        <v>3167554.04</v>
      </c>
      <c r="Q141" s="16">
        <f t="shared" si="175"/>
        <v>4828.9050044438891</v>
      </c>
      <c r="R141" s="16">
        <f t="shared" si="176"/>
        <v>232445.95999999996</v>
      </c>
      <c r="S141" s="16">
        <f t="shared" si="177"/>
        <v>354.36158162806396</v>
      </c>
      <c r="T141" s="43">
        <f>+P141/K141</f>
        <v>0.93163354117647057</v>
      </c>
    </row>
    <row r="142" spans="1:20 16362:16362" s="31" customFormat="1" ht="40.5" customHeight="1">
      <c r="A142" s="56" t="s">
        <v>168</v>
      </c>
      <c r="B142" s="29" t="s">
        <v>88</v>
      </c>
      <c r="C142" s="30">
        <v>1</v>
      </c>
      <c r="D142" s="30">
        <v>17000000</v>
      </c>
      <c r="E142" s="30">
        <f t="shared" si="164"/>
        <v>25916.332930359764</v>
      </c>
      <c r="F142" s="30">
        <f>C142*D142</f>
        <v>17000000</v>
      </c>
      <c r="G142" s="30">
        <f t="shared" si="166"/>
        <v>25916.332930359764</v>
      </c>
      <c r="H142" s="30">
        <v>1</v>
      </c>
      <c r="I142" s="30">
        <v>17000000</v>
      </c>
      <c r="J142" s="30">
        <f t="shared" si="167"/>
        <v>25916.332930359764</v>
      </c>
      <c r="K142" s="30">
        <f>H142*I142</f>
        <v>17000000</v>
      </c>
      <c r="L142" s="30">
        <f>+K142/655.957</f>
        <v>25916.332930359764</v>
      </c>
      <c r="M142" s="30"/>
      <c r="N142" s="30"/>
      <c r="O142" s="30"/>
      <c r="P142" s="30">
        <f>6503500+2300000</f>
        <v>8803500</v>
      </c>
      <c r="Q142" s="13">
        <f t="shared" si="148"/>
        <v>13420.849232495422</v>
      </c>
      <c r="R142" s="13">
        <f>+K142-P142</f>
        <v>8196500</v>
      </c>
      <c r="S142" s="13">
        <f t="shared" si="152"/>
        <v>12495.483697864342</v>
      </c>
      <c r="T142" s="43">
        <f>+P142/K142</f>
        <v>0.51785294117647063</v>
      </c>
    </row>
    <row r="143" spans="1:20 16362:16362" s="31" customFormat="1" ht="33.950000000000003" customHeight="1" collapsed="1">
      <c r="A143" s="56" t="s">
        <v>169</v>
      </c>
      <c r="B143" s="12" t="s">
        <v>88</v>
      </c>
      <c r="C143" s="3">
        <v>1</v>
      </c>
      <c r="D143" s="13">
        <v>15000000</v>
      </c>
      <c r="E143" s="30">
        <f t="shared" si="164"/>
        <v>22867.352585611556</v>
      </c>
      <c r="F143" s="13">
        <f>C143*D143</f>
        <v>15000000</v>
      </c>
      <c r="G143" s="13">
        <f t="shared" si="166"/>
        <v>22867.352585611556</v>
      </c>
      <c r="H143" s="3"/>
      <c r="I143" s="13"/>
      <c r="J143" s="30"/>
      <c r="K143" s="13">
        <f>+K144+K145</f>
        <v>10000000</v>
      </c>
      <c r="L143" s="13">
        <f>+K143/655.957</f>
        <v>15244.901723741039</v>
      </c>
      <c r="M143" s="13"/>
      <c r="N143" s="13"/>
      <c r="O143" s="13">
        <f>+K143</f>
        <v>10000000</v>
      </c>
      <c r="P143" s="13">
        <f>+P144+P145</f>
        <v>12744450.15</v>
      </c>
      <c r="Q143" s="13">
        <f t="shared" si="148"/>
        <v>19428.789005986673</v>
      </c>
      <c r="R143" s="13">
        <f>+K143-P143</f>
        <v>-2744450.1500000004</v>
      </c>
      <c r="S143" s="13">
        <f t="shared" si="152"/>
        <v>-4183.887282245636</v>
      </c>
      <c r="T143" s="46">
        <f>+P143/K143</f>
        <v>1.274445015</v>
      </c>
    </row>
    <row r="144" spans="1:20 16362:16362" s="31" customFormat="1" ht="33.950000000000003" customHeight="1">
      <c r="A144" s="183" t="s">
        <v>170</v>
      </c>
      <c r="B144" s="12"/>
      <c r="C144" s="3"/>
      <c r="D144" s="13"/>
      <c r="E144" s="30"/>
      <c r="F144" s="13"/>
      <c r="G144" s="13"/>
      <c r="H144" s="52">
        <v>1</v>
      </c>
      <c r="I144" s="16">
        <v>7000000</v>
      </c>
      <c r="J144" s="27">
        <f t="shared" ref="J144:J145" si="178">I144/$A$3</f>
        <v>10671.431206618727</v>
      </c>
      <c r="K144" s="16">
        <f t="shared" ref="K144:K145" si="179">H144*I144</f>
        <v>7000000</v>
      </c>
      <c r="L144" s="16">
        <f t="shared" ref="L144:L145" si="180">+K144/655.957</f>
        <v>10671.431206618727</v>
      </c>
      <c r="M144" s="16"/>
      <c r="N144" s="16"/>
      <c r="O144" s="16">
        <f t="shared" ref="O144:O145" si="181">+K144</f>
        <v>7000000</v>
      </c>
      <c r="P144" s="16">
        <v>12744450.15</v>
      </c>
      <c r="Q144" s="16">
        <f t="shared" ref="Q144:Q145" si="182">+P144/655.957</f>
        <v>19428.789005986673</v>
      </c>
      <c r="R144" s="16">
        <f t="shared" ref="R144:R145" si="183">+K144-P144</f>
        <v>-5744450.1500000004</v>
      </c>
      <c r="S144" s="16">
        <f t="shared" ref="S144:S145" si="184">+R144/655.957</f>
        <v>-8757.3577993679464</v>
      </c>
      <c r="T144" s="43">
        <f t="shared" ref="T144:T145" si="185">+P144/K144</f>
        <v>1.8206357357142857</v>
      </c>
    </row>
    <row r="145" spans="1:20" s="31" customFormat="1" ht="33.950000000000003" customHeight="1">
      <c r="A145" s="183" t="s">
        <v>171</v>
      </c>
      <c r="B145" s="12"/>
      <c r="C145" s="3"/>
      <c r="D145" s="13"/>
      <c r="E145" s="30"/>
      <c r="F145" s="13"/>
      <c r="G145" s="13"/>
      <c r="H145" s="52">
        <v>1</v>
      </c>
      <c r="I145" s="16">
        <v>3000000</v>
      </c>
      <c r="J145" s="27">
        <f t="shared" si="178"/>
        <v>4573.4705171223113</v>
      </c>
      <c r="K145" s="16">
        <f t="shared" si="179"/>
        <v>3000000</v>
      </c>
      <c r="L145" s="16">
        <f t="shared" si="180"/>
        <v>4573.4705171223113</v>
      </c>
      <c r="M145" s="16"/>
      <c r="N145" s="16"/>
      <c r="O145" s="16">
        <f t="shared" si="181"/>
        <v>3000000</v>
      </c>
      <c r="P145" s="16"/>
      <c r="Q145" s="16">
        <f t="shared" si="182"/>
        <v>0</v>
      </c>
      <c r="R145" s="16">
        <f t="shared" si="183"/>
        <v>3000000</v>
      </c>
      <c r="S145" s="16">
        <f t="shared" si="184"/>
        <v>4573.4705171223113</v>
      </c>
      <c r="T145" s="43">
        <f t="shared" si="185"/>
        <v>0</v>
      </c>
    </row>
    <row r="146" spans="1:20" s="31" customFormat="1" ht="27.6" customHeight="1">
      <c r="A146" s="56" t="s">
        <v>172</v>
      </c>
      <c r="B146" s="12" t="s">
        <v>88</v>
      </c>
      <c r="C146" s="3">
        <v>1</v>
      </c>
      <c r="D146" s="13">
        <v>60000000</v>
      </c>
      <c r="E146" s="30">
        <f t="shared" si="164"/>
        <v>91469.410342446223</v>
      </c>
      <c r="F146" s="13">
        <f>C146*D146</f>
        <v>60000000</v>
      </c>
      <c r="G146" s="13">
        <f t="shared" si="166"/>
        <v>91469.410342446223</v>
      </c>
      <c r="H146" s="3"/>
      <c r="I146" s="13"/>
      <c r="J146" s="30"/>
      <c r="K146" s="13">
        <f>+K147+K148</f>
        <v>40000000</v>
      </c>
      <c r="L146" s="13">
        <f>+K146/655.957</f>
        <v>60979.606894964156</v>
      </c>
      <c r="M146" s="13"/>
      <c r="N146" s="30">
        <f>+K146</f>
        <v>40000000</v>
      </c>
      <c r="O146" s="13">
        <v>0</v>
      </c>
      <c r="P146" s="13">
        <f>+P147+P148</f>
        <v>40055094</v>
      </c>
      <c r="Q146" s="13">
        <f t="shared" si="148"/>
        <v>61063.597156520933</v>
      </c>
      <c r="R146" s="13">
        <f>+K146-P146</f>
        <v>-55094</v>
      </c>
      <c r="S146" s="13">
        <f t="shared" si="152"/>
        <v>-83.990261556778876</v>
      </c>
      <c r="T146" s="46">
        <f>+P146/K146</f>
        <v>1.0013773500000001</v>
      </c>
    </row>
    <row r="147" spans="1:20" s="31" customFormat="1" ht="27.6" customHeight="1">
      <c r="A147" s="182" t="s">
        <v>173</v>
      </c>
      <c r="B147" s="12"/>
      <c r="C147" s="3"/>
      <c r="D147" s="13"/>
      <c r="E147" s="30"/>
      <c r="F147" s="13"/>
      <c r="G147" s="13"/>
      <c r="H147" s="52">
        <v>1</v>
      </c>
      <c r="I147" s="16">
        <v>20000000</v>
      </c>
      <c r="J147" s="27">
        <f t="shared" ref="J147:J148" si="186">I147/$A$3</f>
        <v>30489.803447482078</v>
      </c>
      <c r="K147" s="16">
        <f t="shared" ref="K147:K148" si="187">H147*I147</f>
        <v>20000000</v>
      </c>
      <c r="L147" s="16">
        <f t="shared" ref="L147:L148" si="188">+K147/655.957</f>
        <v>30489.803447482078</v>
      </c>
      <c r="M147" s="16"/>
      <c r="N147" s="27">
        <f t="shared" ref="N147:N148" si="189">+K147</f>
        <v>20000000</v>
      </c>
      <c r="O147" s="16">
        <v>1</v>
      </c>
      <c r="P147" s="16">
        <v>19116850</v>
      </c>
      <c r="Q147" s="16">
        <f t="shared" ref="Q147:Q148" si="190">+P147/655.957</f>
        <v>29143.449951749888</v>
      </c>
      <c r="R147" s="16">
        <f t="shared" ref="R147:R148" si="191">+K147-P147</f>
        <v>883150</v>
      </c>
      <c r="S147" s="16">
        <f t="shared" ref="S147:S148" si="192">+R147/655.957</f>
        <v>1346.3534957321897</v>
      </c>
      <c r="T147" s="43">
        <f t="shared" ref="T147:T148" si="193">+P147/K147</f>
        <v>0.95584250000000004</v>
      </c>
    </row>
    <row r="148" spans="1:20" s="31" customFormat="1" ht="27.6" customHeight="1">
      <c r="A148" s="182" t="s">
        <v>174</v>
      </c>
      <c r="B148" s="12"/>
      <c r="C148" s="3"/>
      <c r="D148" s="13"/>
      <c r="E148" s="30"/>
      <c r="F148" s="13"/>
      <c r="G148" s="13"/>
      <c r="H148" s="52">
        <v>1</v>
      </c>
      <c r="I148" s="16">
        <v>20000000</v>
      </c>
      <c r="J148" s="27">
        <f t="shared" si="186"/>
        <v>30489.803447482078</v>
      </c>
      <c r="K148" s="16">
        <f t="shared" si="187"/>
        <v>20000000</v>
      </c>
      <c r="L148" s="16">
        <f t="shared" si="188"/>
        <v>30489.803447482078</v>
      </c>
      <c r="M148" s="16"/>
      <c r="N148" s="27">
        <f t="shared" si="189"/>
        <v>20000000</v>
      </c>
      <c r="O148" s="16">
        <v>2</v>
      </c>
      <c r="P148" s="16">
        <v>20938244</v>
      </c>
      <c r="Q148" s="16">
        <f t="shared" si="190"/>
        <v>31920.147204771045</v>
      </c>
      <c r="R148" s="16">
        <f t="shared" si="191"/>
        <v>-938244</v>
      </c>
      <c r="S148" s="16">
        <f t="shared" si="192"/>
        <v>-1430.3437572889686</v>
      </c>
      <c r="T148" s="43">
        <f t="shared" si="193"/>
        <v>1.0469122</v>
      </c>
    </row>
    <row r="149" spans="1:20" ht="27.6" customHeight="1">
      <c r="A149" s="63" t="s">
        <v>175</v>
      </c>
      <c r="B149" s="20"/>
      <c r="C149" s="17"/>
      <c r="D149" s="17"/>
      <c r="E149" s="17"/>
      <c r="F149" s="18">
        <f>F118+F119+F126+F133+F142+F143+F146</f>
        <v>494515000</v>
      </c>
      <c r="G149" s="18">
        <f>G118+G119+G126+G133+G142+G143+G146</f>
        <v>753883.25759157992</v>
      </c>
      <c r="H149" s="17"/>
      <c r="I149" s="17"/>
      <c r="J149" s="17"/>
      <c r="K149" s="18">
        <f>K118+K119+K126+K133+K142+K143+K146</f>
        <v>172550000</v>
      </c>
      <c r="L149" s="18">
        <f>L118+L119+L126+L133+L142+L143+L146</f>
        <v>257867.51265707964</v>
      </c>
      <c r="M149" s="18">
        <f t="shared" ref="M149:S149" si="194">M118+M119+M126+M133+M142+M143+M146</f>
        <v>0</v>
      </c>
      <c r="N149" s="18">
        <f t="shared" si="194"/>
        <v>109750000</v>
      </c>
      <c r="O149" s="18">
        <f t="shared" si="194"/>
        <v>27400000</v>
      </c>
      <c r="P149" s="18">
        <f>P118+P119+P126+P133+P142+P143+P146</f>
        <v>165973717.09</v>
      </c>
      <c r="Q149" s="18">
        <f t="shared" si="194"/>
        <v>253025.30057610484</v>
      </c>
      <c r="R149" s="18">
        <f>R118+R119+R126+R133+R142+R143+R146</f>
        <v>6576282.910000002</v>
      </c>
      <c r="S149" s="18">
        <f t="shared" si="194"/>
        <v>10025.478667046773</v>
      </c>
      <c r="T149" s="47">
        <f>+P149/K149</f>
        <v>0.96188766786438717</v>
      </c>
    </row>
    <row r="150" spans="1:20" s="85" customFormat="1" ht="27.6" customHeight="1">
      <c r="A150" s="80"/>
      <c r="B150" s="81"/>
      <c r="C150" s="82"/>
      <c r="D150" s="82"/>
      <c r="E150" s="82"/>
      <c r="F150" s="83"/>
      <c r="G150" s="83"/>
      <c r="H150" s="82"/>
      <c r="I150" s="82"/>
      <c r="J150" s="82"/>
      <c r="K150" s="83"/>
      <c r="L150" s="83"/>
      <c r="M150" s="83"/>
      <c r="N150" s="83"/>
      <c r="O150" s="83"/>
      <c r="P150" s="83"/>
      <c r="Q150" s="82"/>
      <c r="R150" s="82"/>
      <c r="S150" s="82"/>
      <c r="T150" s="84"/>
    </row>
    <row r="151" spans="1:20" ht="27.6" customHeight="1" collapsed="1">
      <c r="A151" s="87" t="s">
        <v>176</v>
      </c>
      <c r="B151" s="22"/>
      <c r="C151" s="23"/>
      <c r="D151" s="23"/>
      <c r="E151" s="23"/>
      <c r="F151" s="24">
        <f>F71+F96+F116+F149+F53</f>
        <v>1073140590</v>
      </c>
      <c r="G151" s="24">
        <f>G71+G96+G116+G149+G53</f>
        <v>1635992.2830307474</v>
      </c>
      <c r="H151" s="23"/>
      <c r="I151" s="23"/>
      <c r="J151" s="23"/>
      <c r="K151" s="24">
        <f>K71+K96+K116+K149</f>
        <v>340390000</v>
      </c>
      <c r="L151" s="24">
        <f>L71+L96+L116+L149</f>
        <v>513737.94318834919</v>
      </c>
      <c r="M151" s="24">
        <f t="shared" ref="M151:O151" si="195">M71+M96+M116+M149+M53</f>
        <v>4000000</v>
      </c>
      <c r="N151" s="24">
        <f t="shared" si="195"/>
        <v>268590000</v>
      </c>
      <c r="O151" s="24">
        <f t="shared" si="195"/>
        <v>27400000</v>
      </c>
      <c r="P151" s="24">
        <f>P71+P96+P116+P149</f>
        <v>332015852.75259995</v>
      </c>
      <c r="Q151" s="24">
        <f>Q71+Q96+Q116+Q149</f>
        <v>488089.69605111307</v>
      </c>
      <c r="R151" s="24">
        <f>R71+R96+R116+R149</f>
        <v>8374147.2474000026</v>
      </c>
      <c r="S151" s="24">
        <f>S71+S96+S116+S149</f>
        <v>12766.305180674954</v>
      </c>
      <c r="T151" s="48">
        <f>+P151/K151</f>
        <v>0.97539837466611812</v>
      </c>
    </row>
    <row r="152" spans="1:20" s="28" customFormat="1" ht="27.95" customHeight="1">
      <c r="A152" s="71" t="s">
        <v>177</v>
      </c>
      <c r="B152" s="26"/>
      <c r="C152" s="27"/>
      <c r="D152" s="27"/>
      <c r="E152" s="27"/>
      <c r="F152" s="30">
        <f>F54+F151</f>
        <v>1495324334.2620001</v>
      </c>
      <c r="G152" s="30">
        <f>G54+G151</f>
        <v>2279607.2520942683</v>
      </c>
      <c r="H152" s="27"/>
      <c r="I152" s="27"/>
      <c r="J152" s="27"/>
      <c r="K152" s="30">
        <f t="shared" ref="K152:S152" si="196">K54+K151</f>
        <v>420930895.38080001</v>
      </c>
      <c r="L152" s="30">
        <f>L54+L151</f>
        <v>636521.74667058967</v>
      </c>
      <c r="M152" s="30">
        <f t="shared" si="196"/>
        <v>10612048</v>
      </c>
      <c r="N152" s="30">
        <f t="shared" si="196"/>
        <v>315332801.49040002</v>
      </c>
      <c r="O152" s="30">
        <f t="shared" si="196"/>
        <v>54586045.8904</v>
      </c>
      <c r="P152" s="30">
        <f>P54+P151</f>
        <v>413511750.45219994</v>
      </c>
      <c r="Q152" s="30">
        <f t="shared" si="196"/>
        <v>612329.39118295861</v>
      </c>
      <c r="R152" s="30">
        <f t="shared" si="196"/>
        <v>7419144.9286000021</v>
      </c>
      <c r="S152" s="30">
        <f t="shared" si="196"/>
        <v>11310.413531069873</v>
      </c>
      <c r="T152" s="50">
        <f>+P152/K152</f>
        <v>0.98237443483000164</v>
      </c>
    </row>
    <row r="153" spans="1:20" ht="27.95" customHeight="1">
      <c r="A153" s="62" t="s">
        <v>178</v>
      </c>
      <c r="B153" s="15"/>
      <c r="C153" s="52"/>
      <c r="D153" s="52"/>
      <c r="E153" s="52"/>
      <c r="F153" s="16">
        <v>0</v>
      </c>
      <c r="G153" s="16">
        <f>+F153*655.957</f>
        <v>0</v>
      </c>
      <c r="H153" s="52"/>
      <c r="I153" s="52"/>
      <c r="J153" s="52"/>
      <c r="K153" s="16">
        <v>0</v>
      </c>
      <c r="L153" s="16">
        <f>+K153*655.957</f>
        <v>0</v>
      </c>
      <c r="M153" s="16"/>
      <c r="N153" s="16"/>
      <c r="O153" s="16"/>
      <c r="P153" s="82"/>
      <c r="Q153" s="82"/>
      <c r="R153" s="82"/>
      <c r="S153" s="82"/>
      <c r="T153" s="86"/>
    </row>
    <row r="154" spans="1:20" s="28" customFormat="1" ht="27.95" customHeight="1">
      <c r="A154" s="72" t="s">
        <v>179</v>
      </c>
      <c r="B154" s="22"/>
      <c r="C154" s="23"/>
      <c r="D154" s="23"/>
      <c r="E154" s="23"/>
      <c r="F154" s="24">
        <f>F152+F153</f>
        <v>1495324334.2620001</v>
      </c>
      <c r="G154" s="24">
        <f>G152+G153</f>
        <v>2279607.2520942683</v>
      </c>
      <c r="H154" s="23"/>
      <c r="I154" s="23"/>
      <c r="J154" s="23"/>
      <c r="K154" s="24">
        <f>K152+K153</f>
        <v>420930895.38080001</v>
      </c>
      <c r="L154" s="24">
        <f>L152+L153</f>
        <v>636521.74667058967</v>
      </c>
      <c r="M154" s="24">
        <f t="shared" ref="M154:Q154" si="197">M152+M153</f>
        <v>10612048</v>
      </c>
      <c r="N154" s="24">
        <f t="shared" si="197"/>
        <v>315332801.49040002</v>
      </c>
      <c r="O154" s="24">
        <f t="shared" si="197"/>
        <v>54586045.8904</v>
      </c>
      <c r="P154" s="24">
        <f>P152+P153</f>
        <v>413511750.45219994</v>
      </c>
      <c r="Q154" s="24">
        <f t="shared" si="197"/>
        <v>612329.39118295861</v>
      </c>
      <c r="R154" s="24">
        <f>R152+R153</f>
        <v>7419144.9286000021</v>
      </c>
      <c r="S154" s="24">
        <f t="shared" ref="S154" si="198">S152+S153</f>
        <v>11310.413531069873</v>
      </c>
      <c r="T154" s="48">
        <f>+P154/K154</f>
        <v>0.98237443483000164</v>
      </c>
    </row>
    <row r="155" spans="1:20" s="28" customFormat="1" ht="27.95" customHeight="1">
      <c r="A155" s="73" t="s">
        <v>180</v>
      </c>
      <c r="B155" s="26"/>
      <c r="C155" s="27"/>
      <c r="D155" s="27"/>
      <c r="E155" s="27"/>
      <c r="F155" s="27">
        <f>+F154*7.00019808419029%</f>
        <v>104675665.39943974</v>
      </c>
      <c r="G155" s="27">
        <f>+G154*7%</f>
        <v>159572.50764659879</v>
      </c>
      <c r="H155" s="27"/>
      <c r="I155" s="27"/>
      <c r="J155" s="27"/>
      <c r="K155" s="27">
        <f>+K154*7%</f>
        <v>29465162.676656004</v>
      </c>
      <c r="L155" s="27">
        <f>+L154*7%</f>
        <v>44556.522266941283</v>
      </c>
      <c r="M155" s="27">
        <f>+K155</f>
        <v>29465162.676656004</v>
      </c>
      <c r="N155" s="27"/>
      <c r="O155" s="27"/>
      <c r="P155" s="27">
        <f>+P154*7%</f>
        <v>28945822.531653997</v>
      </c>
      <c r="Q155" s="16">
        <f>+P155/655.957</f>
        <v>44127.621980791417</v>
      </c>
      <c r="R155" s="16">
        <f>+K155-P155</f>
        <v>519340.14500200748</v>
      </c>
      <c r="S155" s="16">
        <f t="shared" ref="S155" si="199">+R155/655.957</f>
        <v>791.72894717490249</v>
      </c>
      <c r="T155" s="43"/>
    </row>
    <row r="156" spans="1:20" s="28" customFormat="1" ht="27.95" customHeight="1">
      <c r="A156" s="72" t="s">
        <v>181</v>
      </c>
      <c r="B156" s="22"/>
      <c r="C156" s="23"/>
      <c r="D156" s="23"/>
      <c r="E156" s="23"/>
      <c r="F156" s="24">
        <f>F154+F155</f>
        <v>1599999999.6614399</v>
      </c>
      <c r="G156" s="24">
        <f>G154+G155</f>
        <v>2439179.7597408672</v>
      </c>
      <c r="H156" s="23"/>
      <c r="I156" s="23"/>
      <c r="J156" s="23"/>
      <c r="K156" s="24">
        <f>K154+K155</f>
        <v>450396058.05745602</v>
      </c>
      <c r="L156" s="24">
        <f>L154+L155</f>
        <v>681078.26893753093</v>
      </c>
      <c r="M156" s="24">
        <f t="shared" ref="M156:S156" si="200">M154+M155</f>
        <v>40077210.676656008</v>
      </c>
      <c r="N156" s="24">
        <f t="shared" si="200"/>
        <v>315332801.49040002</v>
      </c>
      <c r="O156" s="24">
        <f t="shared" si="200"/>
        <v>54586045.8904</v>
      </c>
      <c r="P156" s="24">
        <f>P154+P155</f>
        <v>442457572.98385394</v>
      </c>
      <c r="Q156" s="24">
        <f t="shared" si="200"/>
        <v>656457.01316375006</v>
      </c>
      <c r="R156" s="24">
        <f t="shared" si="200"/>
        <v>7938485.0736020096</v>
      </c>
      <c r="S156" s="24">
        <f t="shared" si="200"/>
        <v>12102.142478244776</v>
      </c>
      <c r="T156" s="48">
        <f>+P156/K156</f>
        <v>0.98237443483000153</v>
      </c>
    </row>
    <row r="157" spans="1:20" ht="27.95" customHeight="1">
      <c r="A157" s="62" t="s">
        <v>182</v>
      </c>
      <c r="B157" s="15"/>
      <c r="C157" s="52"/>
      <c r="D157" s="52"/>
      <c r="E157" s="52"/>
      <c r="F157" s="52"/>
      <c r="G157" s="52"/>
      <c r="H157" s="52"/>
      <c r="I157" s="52"/>
      <c r="J157" s="52"/>
      <c r="K157" s="52"/>
      <c r="L157" s="52"/>
      <c r="M157" s="52"/>
      <c r="N157" s="52"/>
      <c r="O157" s="52"/>
      <c r="P157" s="52"/>
      <c r="Q157" s="82"/>
      <c r="R157" s="82"/>
      <c r="S157" s="82"/>
      <c r="T157" s="49"/>
    </row>
    <row r="158" spans="1:20" ht="27.95" customHeight="1">
      <c r="A158" s="62" t="s">
        <v>183</v>
      </c>
      <c r="B158" s="15"/>
      <c r="C158" s="52"/>
      <c r="D158" s="52"/>
      <c r="E158" s="52"/>
      <c r="F158" s="52"/>
      <c r="G158" s="52"/>
      <c r="H158" s="52"/>
      <c r="I158" s="52"/>
      <c r="J158" s="52"/>
      <c r="K158" s="52"/>
      <c r="L158" s="52"/>
      <c r="M158" s="52"/>
      <c r="N158" s="52"/>
      <c r="O158" s="52"/>
      <c r="P158" s="52"/>
      <c r="Q158" s="82"/>
      <c r="R158" s="82"/>
      <c r="S158" s="82"/>
      <c r="T158" s="49"/>
    </row>
    <row r="159" spans="1:20" ht="27.95" customHeight="1">
      <c r="A159" s="74" t="s">
        <v>184</v>
      </c>
      <c r="B159" s="39"/>
      <c r="C159" s="40"/>
      <c r="D159" s="40"/>
      <c r="E159" s="40"/>
      <c r="F159" s="41">
        <f>F156</f>
        <v>1599999999.6614399</v>
      </c>
      <c r="G159" s="41">
        <f>G156</f>
        <v>2439179.7597408672</v>
      </c>
      <c r="H159" s="40"/>
      <c r="I159" s="40"/>
      <c r="J159" s="40"/>
      <c r="K159" s="41">
        <f>K156</f>
        <v>450396058.05745602</v>
      </c>
      <c r="L159" s="41">
        <f>L156</f>
        <v>681078.26893753093</v>
      </c>
      <c r="M159" s="41">
        <f t="shared" ref="M159:S159" si="201">M156</f>
        <v>40077210.676656008</v>
      </c>
      <c r="N159" s="41">
        <f t="shared" si="201"/>
        <v>315332801.49040002</v>
      </c>
      <c r="O159" s="41">
        <f t="shared" si="201"/>
        <v>54586045.8904</v>
      </c>
      <c r="P159" s="41">
        <f>P156</f>
        <v>442457572.98385394</v>
      </c>
      <c r="Q159" s="41">
        <f t="shared" si="201"/>
        <v>656457.01316375006</v>
      </c>
      <c r="R159" s="41">
        <f t="shared" si="201"/>
        <v>7938485.0736020096</v>
      </c>
      <c r="S159" s="41">
        <f t="shared" si="201"/>
        <v>12102.142478244776</v>
      </c>
      <c r="T159" s="188">
        <f>+P159/K159</f>
        <v>0.98237443483000153</v>
      </c>
    </row>
    <row r="162" spans="12:17">
      <c r="L162" s="52" t="s">
        <v>23</v>
      </c>
      <c r="M162" s="52"/>
      <c r="N162" s="52"/>
      <c r="O162" s="52"/>
      <c r="P162" s="52">
        <v>72987296.354111984</v>
      </c>
    </row>
    <row r="163" spans="12:17">
      <c r="L163" s="52" t="s">
        <v>22</v>
      </c>
      <c r="M163" s="52"/>
      <c r="N163" s="52"/>
      <c r="O163" s="52"/>
      <c r="P163" s="52">
        <v>331134692</v>
      </c>
    </row>
    <row r="164" spans="12:17" ht="14.1">
      <c r="L164" s="52" t="s">
        <v>21</v>
      </c>
      <c r="M164" s="52"/>
      <c r="N164" s="52"/>
      <c r="O164" s="52"/>
      <c r="P164" s="52">
        <f>+P13+2900511</f>
        <v>9389762.4096000008</v>
      </c>
      <c r="Q164" s="191"/>
    </row>
    <row r="165" spans="12:17">
      <c r="L165" s="52" t="s">
        <v>185</v>
      </c>
      <c r="M165" s="52"/>
      <c r="N165" s="52"/>
      <c r="O165" s="52"/>
      <c r="P165" s="52">
        <f>SUM(P162:P164)</f>
        <v>413511750.76371199</v>
      </c>
    </row>
    <row r="166" spans="12:17">
      <c r="L166" s="52" t="s">
        <v>186</v>
      </c>
      <c r="M166" s="52"/>
      <c r="N166" s="52"/>
      <c r="O166" s="52"/>
      <c r="P166" s="52">
        <f>+P165*7%</f>
        <v>28945822.553459842</v>
      </c>
    </row>
    <row r="167" spans="12:17">
      <c r="L167" s="52" t="s">
        <v>187</v>
      </c>
      <c r="M167" s="52"/>
      <c r="N167" s="52"/>
      <c r="O167" s="52"/>
      <c r="P167" s="52">
        <f>+P165+P166</f>
        <v>442457573.31717181</v>
      </c>
    </row>
  </sheetData>
  <mergeCells count="9">
    <mergeCell ref="M4:O4"/>
    <mergeCell ref="P4:Q4"/>
    <mergeCell ref="R4:S4"/>
    <mergeCell ref="T4:T5"/>
    <mergeCell ref="B3:G3"/>
    <mergeCell ref="H3:L3"/>
    <mergeCell ref="B4:G4"/>
    <mergeCell ref="H4:L4"/>
    <mergeCell ref="B116:D116"/>
  </mergeCells>
  <pageMargins left="0.51181102362204722" right="0.51181102362204722" top="0.55118110236220474" bottom="0.55118110236220474" header="0.31496062992125984" footer="0.31496062992125984"/>
  <pageSetup paperSize="9" scale="65" fitToHeight="0" orientation="landscape" r:id="rId1"/>
  <headerFooter>
    <oddFooter>&amp;L&amp;F</oddFooter>
  </headerFooter>
  <rowBreaks count="1" manualBreakCount="1">
    <brk id="121" max="3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387D5-B3C2-4AD4-B146-08ABD9F90D9D}">
  <sheetPr>
    <tabColor rgb="FFFFFF00"/>
    <pageSetUpPr fitToPage="1"/>
  </sheetPr>
  <dimension ref="A1:XES163"/>
  <sheetViews>
    <sheetView view="pageBreakPreview" zoomScale="60" zoomScaleNormal="90" workbookViewId="0">
      <pane xSplit="7" ySplit="6" topLeftCell="T157" activePane="bottomRight" state="frozen"/>
      <selection pane="bottomRight" activeCell="T164" sqref="T164"/>
      <selection pane="bottomLeft" activeCell="A7" sqref="A7"/>
      <selection pane="topRight" activeCell="H1" sqref="H1"/>
    </sheetView>
  </sheetViews>
  <sheetFormatPr defaultColWidth="9.140625" defaultRowHeight="12.95" outlineLevelRow="1" outlineLevelCol="1"/>
  <cols>
    <col min="1" max="1" width="76.140625" style="58" customWidth="1"/>
    <col min="2" max="2" width="12.5703125" style="6" hidden="1" customWidth="1" outlineLevel="1"/>
    <col min="3" max="3" width="10.5703125" style="1" hidden="1" customWidth="1" outlineLevel="1"/>
    <col min="4" max="4" width="13.5703125" style="1" hidden="1" customWidth="1" outlineLevel="1"/>
    <col min="5" max="5" width="14.5703125" style="1" hidden="1" customWidth="1" outlineLevel="1"/>
    <col min="6" max="6" width="16.5703125" style="1" hidden="1" customWidth="1" outlineLevel="1"/>
    <col min="7" max="7" width="11.140625" style="1" hidden="1" customWidth="1" outlineLevel="1"/>
    <col min="8" max="8" width="13.42578125" style="1" customWidth="1" collapsed="1"/>
    <col min="9" max="9" width="9.42578125" style="1" customWidth="1"/>
    <col min="10" max="11" width="12.5703125" style="1" customWidth="1"/>
    <col min="12" max="12" width="14.85546875" style="1" customWidth="1"/>
    <col min="13" max="13" width="12.42578125" style="1" customWidth="1"/>
    <col min="14" max="17" width="17.140625" style="1" customWidth="1" outlineLevel="1"/>
    <col min="18" max="18" width="13.85546875" style="1" customWidth="1"/>
    <col min="19" max="19" width="13.85546875" style="1" customWidth="1" collapsed="1"/>
    <col min="20" max="23" width="13.85546875" style="1" customWidth="1"/>
    <col min="24" max="24" width="15" style="1" bestFit="1" customWidth="1"/>
    <col min="25" max="29" width="13.85546875" style="1" customWidth="1"/>
    <col min="30" max="30" width="13.85546875" style="45" customWidth="1"/>
    <col min="31" max="16372" width="9.140625" style="1"/>
    <col min="16373" max="16373" width="11.5703125" style="1" bestFit="1" customWidth="1"/>
    <col min="16374" max="16384" width="11.5703125" style="1" customWidth="1"/>
  </cols>
  <sheetData>
    <row r="1" spans="1:31" s="4" customFormat="1" ht="21" customHeight="1">
      <c r="A1" s="77" t="s">
        <v>188</v>
      </c>
      <c r="B1" s="76"/>
      <c r="C1" s="76"/>
      <c r="D1" s="76"/>
      <c r="E1" s="76"/>
      <c r="F1" s="76"/>
      <c r="G1" s="76"/>
      <c r="H1" s="76"/>
      <c r="I1" s="76"/>
      <c r="J1" s="76"/>
      <c r="K1" s="54"/>
      <c r="L1" s="7">
        <v>7.0001980841902904</v>
      </c>
      <c r="AD1" s="44"/>
    </row>
    <row r="2" spans="1:31" ht="21" customHeight="1" thickBot="1">
      <c r="A2" s="77" t="s">
        <v>189</v>
      </c>
      <c r="B2" s="6">
        <v>655.95699999999999</v>
      </c>
      <c r="I2" s="1" t="s">
        <v>2</v>
      </c>
      <c r="L2" s="7"/>
      <c r="M2" s="7"/>
      <c r="N2" s="7"/>
      <c r="O2" s="7" t="s">
        <v>2</v>
      </c>
      <c r="P2" s="7"/>
      <c r="Q2" s="7"/>
      <c r="R2" s="7"/>
    </row>
    <row r="3" spans="1:31" ht="21" customHeight="1">
      <c r="H3" s="198" t="s">
        <v>3</v>
      </c>
      <c r="I3" s="199"/>
      <c r="J3" s="199"/>
      <c r="K3" s="199"/>
      <c r="L3" s="199"/>
      <c r="M3" s="200"/>
    </row>
    <row r="4" spans="1:31" ht="38.1" customHeight="1">
      <c r="A4" s="59" t="s">
        <v>5</v>
      </c>
      <c r="B4" s="202" t="s">
        <v>190</v>
      </c>
      <c r="C4" s="202"/>
      <c r="D4" s="202"/>
      <c r="E4" s="202"/>
      <c r="F4" s="202"/>
      <c r="G4" s="202"/>
      <c r="H4" s="193" t="s">
        <v>6</v>
      </c>
      <c r="I4" s="193"/>
      <c r="J4" s="193"/>
      <c r="K4" s="193"/>
      <c r="L4" s="193"/>
      <c r="M4" s="193"/>
      <c r="N4" s="196" t="s">
        <v>191</v>
      </c>
      <c r="O4" s="196"/>
      <c r="P4" s="196" t="s">
        <v>192</v>
      </c>
      <c r="Q4" s="196"/>
      <c r="R4" s="196" t="s">
        <v>193</v>
      </c>
      <c r="S4" s="196"/>
      <c r="T4" s="196" t="s">
        <v>194</v>
      </c>
      <c r="U4" s="196"/>
      <c r="V4" s="196" t="s">
        <v>195</v>
      </c>
      <c r="W4" s="196"/>
      <c r="X4" s="196" t="s">
        <v>9</v>
      </c>
      <c r="Y4" s="196"/>
      <c r="Z4" s="196" t="s">
        <v>196</v>
      </c>
      <c r="AA4" s="196"/>
      <c r="AB4" s="196" t="s">
        <v>197</v>
      </c>
      <c r="AC4" s="196"/>
      <c r="AD4" s="197" t="s">
        <v>198</v>
      </c>
    </row>
    <row r="5" spans="1:31" ht="39">
      <c r="A5" s="60" t="s">
        <v>12</v>
      </c>
      <c r="B5" s="8" t="s">
        <v>13</v>
      </c>
      <c r="C5" s="9" t="s">
        <v>14</v>
      </c>
      <c r="D5" s="53" t="s">
        <v>199</v>
      </c>
      <c r="E5" s="53" t="s">
        <v>20</v>
      </c>
      <c r="F5" s="53" t="s">
        <v>19</v>
      </c>
      <c r="G5" s="53" t="s">
        <v>200</v>
      </c>
      <c r="H5" s="8" t="s">
        <v>13</v>
      </c>
      <c r="I5" s="9" t="s">
        <v>14</v>
      </c>
      <c r="J5" s="53" t="s">
        <v>15</v>
      </c>
      <c r="K5" s="53" t="s">
        <v>16</v>
      </c>
      <c r="L5" s="53" t="s">
        <v>17</v>
      </c>
      <c r="M5" s="53" t="s">
        <v>18</v>
      </c>
      <c r="N5" s="79" t="s">
        <v>24</v>
      </c>
      <c r="O5" s="79" t="s">
        <v>25</v>
      </c>
      <c r="P5" s="79" t="s">
        <v>24</v>
      </c>
      <c r="Q5" s="79" t="s">
        <v>25</v>
      </c>
      <c r="R5" s="79" t="s">
        <v>24</v>
      </c>
      <c r="S5" s="79" t="s">
        <v>25</v>
      </c>
      <c r="T5" s="79" t="s">
        <v>24</v>
      </c>
      <c r="U5" s="79" t="s">
        <v>25</v>
      </c>
      <c r="V5" s="79" t="s">
        <v>24</v>
      </c>
      <c r="W5" s="79" t="s">
        <v>25</v>
      </c>
      <c r="X5" s="79" t="s">
        <v>24</v>
      </c>
      <c r="Y5" s="79" t="s">
        <v>25</v>
      </c>
      <c r="Z5" s="79" t="s">
        <v>24</v>
      </c>
      <c r="AA5" s="79" t="s">
        <v>25</v>
      </c>
      <c r="AB5" s="79" t="s">
        <v>24</v>
      </c>
      <c r="AC5" s="79" t="s">
        <v>25</v>
      </c>
      <c r="AD5" s="197"/>
    </row>
    <row r="6" spans="1:31" ht="15" customHeight="1">
      <c r="A6" s="61" t="s">
        <v>26</v>
      </c>
      <c r="B6" s="12"/>
      <c r="C6" s="3"/>
      <c r="D6" s="3"/>
      <c r="E6" s="13"/>
      <c r="F6" s="13"/>
      <c r="G6" s="13"/>
      <c r="H6" s="12"/>
      <c r="I6" s="3"/>
      <c r="J6" s="3"/>
      <c r="K6" s="3"/>
      <c r="L6" s="13"/>
      <c r="M6" s="13"/>
      <c r="N6" s="13"/>
      <c r="O6" s="13"/>
      <c r="P6" s="13"/>
      <c r="Q6" s="13"/>
      <c r="R6" s="13"/>
      <c r="S6" s="12"/>
      <c r="T6" s="13"/>
      <c r="U6" s="13"/>
      <c r="V6" s="13"/>
      <c r="W6" s="13"/>
      <c r="X6" s="13"/>
      <c r="Y6" s="13"/>
      <c r="Z6" s="13"/>
      <c r="AA6" s="13"/>
      <c r="AB6" s="13"/>
      <c r="AC6" s="13"/>
      <c r="AD6" s="46"/>
    </row>
    <row r="7" spans="1:31" ht="15" customHeight="1">
      <c r="A7" s="59" t="s">
        <v>27</v>
      </c>
      <c r="B7" s="12"/>
      <c r="C7" s="3"/>
      <c r="D7" s="3"/>
      <c r="E7" s="13"/>
      <c r="F7" s="13"/>
      <c r="G7" s="13"/>
      <c r="H7" s="12"/>
      <c r="I7" s="3"/>
      <c r="J7" s="3"/>
      <c r="K7" s="3"/>
      <c r="L7" s="13"/>
      <c r="M7" s="13"/>
      <c r="N7" s="13"/>
      <c r="O7" s="13"/>
      <c r="P7" s="13"/>
      <c r="Q7" s="13"/>
      <c r="R7" s="13"/>
      <c r="S7" s="12"/>
      <c r="T7" s="13"/>
      <c r="U7" s="13"/>
      <c r="V7" s="13"/>
      <c r="W7" s="13"/>
      <c r="X7" s="13"/>
      <c r="Y7" s="13"/>
      <c r="Z7" s="13"/>
      <c r="AA7" s="13"/>
      <c r="AB7" s="13"/>
      <c r="AC7" s="13"/>
      <c r="AD7" s="46"/>
    </row>
    <row r="8" spans="1:31" ht="27.6" customHeight="1">
      <c r="A8" s="62" t="s">
        <v>28</v>
      </c>
      <c r="B8" s="15"/>
      <c r="C8" s="52"/>
      <c r="D8" s="52"/>
      <c r="E8" s="16"/>
      <c r="F8" s="16"/>
      <c r="G8" s="16"/>
      <c r="H8" s="15"/>
      <c r="I8" s="52"/>
      <c r="J8" s="52"/>
      <c r="K8" s="52"/>
      <c r="L8" s="16" t="s">
        <v>2</v>
      </c>
      <c r="M8" s="16"/>
      <c r="N8" s="16"/>
      <c r="O8" s="16"/>
      <c r="P8" s="16"/>
      <c r="Q8" s="16"/>
      <c r="R8" s="16"/>
      <c r="S8" s="15"/>
      <c r="T8" s="16"/>
      <c r="U8" s="16"/>
      <c r="V8" s="16"/>
      <c r="W8" s="16"/>
      <c r="X8" s="16"/>
      <c r="Y8" s="16"/>
      <c r="Z8" s="16"/>
      <c r="AA8" s="16"/>
      <c r="AB8" s="16"/>
      <c r="AC8" s="16"/>
      <c r="AD8" s="43"/>
    </row>
    <row r="9" spans="1:31" ht="15" customHeight="1">
      <c r="A9" s="62" t="s">
        <v>29</v>
      </c>
      <c r="B9" s="15" t="s">
        <v>30</v>
      </c>
      <c r="C9" s="52">
        <v>21</v>
      </c>
      <c r="D9" s="52">
        <v>2600</v>
      </c>
      <c r="E9" s="16">
        <f>C9*D9</f>
        <v>54600</v>
      </c>
      <c r="F9" s="16">
        <f>+E9*655.957</f>
        <v>35815252.200000003</v>
      </c>
      <c r="G9" s="16"/>
      <c r="H9" s="15" t="s">
        <v>30</v>
      </c>
      <c r="I9" s="52">
        <v>62</v>
      </c>
      <c r="J9" s="52">
        <f>1705548/2</f>
        <v>852774</v>
      </c>
      <c r="K9" s="52">
        <f>J9/$B$2</f>
        <v>1300.0455822561539</v>
      </c>
      <c r="L9" s="16">
        <f>+I9*J9</f>
        <v>52871988</v>
      </c>
      <c r="M9" s="16">
        <f>+L9/655.957</f>
        <v>80602.826099881553</v>
      </c>
      <c r="N9" s="16">
        <v>10085109</v>
      </c>
      <c r="O9" s="16">
        <f>+N9/655.957</f>
        <v>15374.649557821625</v>
      </c>
      <c r="P9" s="16">
        <v>10233198</v>
      </c>
      <c r="Q9" s="16">
        <f>+P9/655.957</f>
        <v>15600.409782958335</v>
      </c>
      <c r="R9" s="16">
        <f>N9+P9</f>
        <v>20318307</v>
      </c>
      <c r="S9" s="15">
        <f>+R9/655.957</f>
        <v>30975.059340779961</v>
      </c>
      <c r="T9" s="16">
        <v>10232928</v>
      </c>
      <c r="U9" s="16">
        <f>+T9/655.957</f>
        <v>15599.998170611794</v>
      </c>
      <c r="V9" s="16">
        <f>+R9+T9</f>
        <v>30551235</v>
      </c>
      <c r="W9" s="16">
        <f>+V9/655.957</f>
        <v>46575.057511391751</v>
      </c>
      <c r="X9" s="16">
        <v>9380184</v>
      </c>
      <c r="Y9" s="16">
        <f t="shared" ref="Y9:Y13" si="0">+X9/655.957</f>
        <v>14299.99832306081</v>
      </c>
      <c r="Z9" s="16">
        <f>+V9+X9</f>
        <v>39931419</v>
      </c>
      <c r="AA9" s="16">
        <f>+Z9/655.957</f>
        <v>60875.055834452563</v>
      </c>
      <c r="AB9" s="16">
        <f>+L9-Z9</f>
        <v>12940569</v>
      </c>
      <c r="AC9" s="16">
        <f>+AB9/655.957</f>
        <v>19727.770265428982</v>
      </c>
      <c r="AD9" s="43">
        <f>+Z9/L9</f>
        <v>0.75524716415051385</v>
      </c>
    </row>
    <row r="10" spans="1:31" ht="15" customHeight="1">
      <c r="A10" s="62" t="s">
        <v>31</v>
      </c>
      <c r="B10" s="15" t="s">
        <v>30</v>
      </c>
      <c r="C10" s="52">
        <v>42</v>
      </c>
      <c r="D10" s="52">
        <v>1750</v>
      </c>
      <c r="E10" s="16">
        <f>C10*D10</f>
        <v>73500</v>
      </c>
      <c r="F10" s="16">
        <f t="shared" ref="F10:F119" si="1">+E10*655.957</f>
        <v>48212839.5</v>
      </c>
      <c r="G10" s="16"/>
      <c r="H10" s="15" t="s">
        <v>30</v>
      </c>
      <c r="I10" s="52">
        <v>62</v>
      </c>
      <c r="J10" s="52">
        <v>1147925</v>
      </c>
      <c r="K10" s="52">
        <f>J10/$B$2</f>
        <v>1750.0003811225431</v>
      </c>
      <c r="L10" s="16">
        <f t="shared" ref="L10:L12" si="2">+I10*J10</f>
        <v>71171350</v>
      </c>
      <c r="M10" s="16">
        <f t="shared" ref="M10:M12" si="3">+L10/655.957</f>
        <v>108500.02362959768</v>
      </c>
      <c r="N10" s="16">
        <v>14801084</v>
      </c>
      <c r="O10" s="16">
        <f t="shared" ref="O10:O13" si="4">+N10/655.957</f>
        <v>22564.10709848359</v>
      </c>
      <c r="P10" s="16">
        <v>13637835</v>
      </c>
      <c r="Q10" s="16">
        <f t="shared" ref="Q10:Q13" si="5">+P10/655.957</f>
        <v>20790.745429959585</v>
      </c>
      <c r="R10" s="16">
        <f t="shared" ref="R10:R13" si="6">N10+P10</f>
        <v>28438919</v>
      </c>
      <c r="S10" s="15">
        <f t="shared" ref="S10:S13" si="7">+R10/655.957</f>
        <v>43354.852528443174</v>
      </c>
      <c r="T10" s="16">
        <v>13886564</v>
      </c>
      <c r="U10" s="16">
        <f t="shared" ref="U10:W13" si="8">+T10/655.957</f>
        <v>21169.930346044024</v>
      </c>
      <c r="V10" s="16">
        <f>+R10+T10</f>
        <v>42325483</v>
      </c>
      <c r="W10" s="16">
        <f t="shared" si="8"/>
        <v>64524.782874487202</v>
      </c>
      <c r="X10" s="16">
        <v>13879602</v>
      </c>
      <c r="Y10" s="16">
        <f t="shared" si="0"/>
        <v>21159.316845463956</v>
      </c>
      <c r="Z10" s="16">
        <f t="shared" ref="Z10:Z13" si="9">+V10+X10</f>
        <v>56205085</v>
      </c>
      <c r="AA10" s="16">
        <f t="shared" ref="AA10:AA13" si="10">+Z10/655.957</f>
        <v>85684.099719951162</v>
      </c>
      <c r="AB10" s="16">
        <f t="shared" ref="AB10:AB13" si="11">+L10-Z10</f>
        <v>14966265</v>
      </c>
      <c r="AC10" s="16">
        <f t="shared" ref="AC10" si="12">+AB10/655.957</f>
        <v>22815.923909646517</v>
      </c>
      <c r="AD10" s="43">
        <f t="shared" ref="AD10:AD13" si="13">+Z10/L10</f>
        <v>0.78971503280463273</v>
      </c>
    </row>
    <row r="11" spans="1:31" ht="15" customHeight="1">
      <c r="A11" s="62" t="s">
        <v>32</v>
      </c>
      <c r="B11" s="15" t="s">
        <v>30</v>
      </c>
      <c r="C11" s="52">
        <v>21</v>
      </c>
      <c r="D11" s="52">
        <v>2050</v>
      </c>
      <c r="E11" s="16">
        <f>C11*D11</f>
        <v>43050</v>
      </c>
      <c r="F11" s="16">
        <f t="shared" si="1"/>
        <v>28238948.850000001</v>
      </c>
      <c r="G11" s="16"/>
      <c r="H11" s="15" t="s">
        <v>30</v>
      </c>
      <c r="I11" s="52">
        <v>62</v>
      </c>
      <c r="J11" s="52">
        <f>1344712/2</f>
        <v>672356</v>
      </c>
      <c r="K11" s="52">
        <f>J11/$B$2</f>
        <v>1025.0001143367629</v>
      </c>
      <c r="L11" s="16">
        <f t="shared" si="2"/>
        <v>41686072</v>
      </c>
      <c r="M11" s="16">
        <f>+L11/655.957</f>
        <v>63550.007088879305</v>
      </c>
      <c r="N11" s="16">
        <v>8068012</v>
      </c>
      <c r="O11" s="16">
        <f t="shared" si="4"/>
        <v>12299.605004596338</v>
      </c>
      <c r="P11" s="16">
        <v>8067996</v>
      </c>
      <c r="Q11" s="16">
        <f t="shared" si="5"/>
        <v>12299.58061275358</v>
      </c>
      <c r="R11" s="16">
        <f t="shared" si="6"/>
        <v>16136008</v>
      </c>
      <c r="S11" s="15">
        <f t="shared" si="7"/>
        <v>24599.185617349918</v>
      </c>
      <c r="T11" s="16">
        <v>8067996</v>
      </c>
      <c r="U11" s="16">
        <f t="shared" si="8"/>
        <v>12299.58061275358</v>
      </c>
      <c r="V11" s="16">
        <f>+R11+T11</f>
        <v>24204004</v>
      </c>
      <c r="W11" s="16">
        <f t="shared" si="8"/>
        <v>36898.766230103502</v>
      </c>
      <c r="X11" s="16">
        <v>8067996</v>
      </c>
      <c r="Y11" s="16">
        <f t="shared" si="0"/>
        <v>12299.58061275358</v>
      </c>
      <c r="Z11" s="16">
        <f t="shared" si="9"/>
        <v>32272000</v>
      </c>
      <c r="AA11" s="16">
        <f t="shared" si="10"/>
        <v>49198.346842857078</v>
      </c>
      <c r="AB11" s="16">
        <f t="shared" si="11"/>
        <v>9414072</v>
      </c>
      <c r="AC11" s="16">
        <f t="shared" ref="AC11" si="14">+AB11/655.957</f>
        <v>14351.660246022224</v>
      </c>
      <c r="AD11" s="43">
        <f t="shared" si="13"/>
        <v>0.77416744854252517</v>
      </c>
    </row>
    <row r="12" spans="1:31" ht="15" customHeight="1">
      <c r="A12" s="62" t="s">
        <v>33</v>
      </c>
      <c r="B12" s="15" t="s">
        <v>30</v>
      </c>
      <c r="C12" s="52"/>
      <c r="D12" s="52"/>
      <c r="E12" s="16"/>
      <c r="F12" s="16"/>
      <c r="G12" s="16"/>
      <c r="H12" s="15" t="s">
        <v>30</v>
      </c>
      <c r="I12" s="52">
        <v>62</v>
      </c>
      <c r="J12" s="52">
        <v>229585</v>
      </c>
      <c r="K12" s="52">
        <f>J12/$B$2</f>
        <v>350.00007622450863</v>
      </c>
      <c r="L12" s="16">
        <f t="shared" si="2"/>
        <v>14234270</v>
      </c>
      <c r="M12" s="16">
        <f t="shared" si="3"/>
        <v>21700.004725919534</v>
      </c>
      <c r="N12" s="16">
        <v>1444771</v>
      </c>
      <c r="O12" s="16">
        <f t="shared" si="4"/>
        <v>2202.5391908311062</v>
      </c>
      <c r="P12" s="16">
        <v>1928520</v>
      </c>
      <c r="Q12" s="16">
        <f t="shared" si="5"/>
        <v>2940.0097872269066</v>
      </c>
      <c r="R12" s="16">
        <f t="shared" si="6"/>
        <v>3373291</v>
      </c>
      <c r="S12" s="15">
        <f t="shared" si="7"/>
        <v>5142.5489780580128</v>
      </c>
      <c r="T12" s="16">
        <v>2685680</v>
      </c>
      <c r="U12" s="16">
        <f t="shared" si="8"/>
        <v>4094.2927661416829</v>
      </c>
      <c r="V12" s="16">
        <f>+R12+T12</f>
        <v>6058971</v>
      </c>
      <c r="W12" s="16">
        <f t="shared" si="8"/>
        <v>9236.8417441996953</v>
      </c>
      <c r="X12" s="16">
        <f>4580000+430000</f>
        <v>5010000</v>
      </c>
      <c r="Y12" s="16">
        <f t="shared" si="0"/>
        <v>7637.6957635942599</v>
      </c>
      <c r="Z12" s="16">
        <f t="shared" si="9"/>
        <v>11068971</v>
      </c>
      <c r="AA12" s="16">
        <f t="shared" si="10"/>
        <v>16874.537507793957</v>
      </c>
      <c r="AB12" s="16">
        <f t="shared" si="11"/>
        <v>3165299</v>
      </c>
      <c r="AC12" s="16">
        <f t="shared" ref="AC12" si="15">+AB12/655.957</f>
        <v>4825.4672181255783</v>
      </c>
      <c r="AD12" s="43">
        <f t="shared" si="13"/>
        <v>0.77762828722512645</v>
      </c>
    </row>
    <row r="13" spans="1:31" ht="15" customHeight="1">
      <c r="A13" s="62" t="s">
        <v>34</v>
      </c>
      <c r="B13" s="15" t="s">
        <v>30</v>
      </c>
      <c r="C13" s="52">
        <v>12</v>
      </c>
      <c r="D13" s="52">
        <v>840</v>
      </c>
      <c r="E13" s="16">
        <f>C13*D13</f>
        <v>10080</v>
      </c>
      <c r="F13" s="16">
        <f>+E13*655.957</f>
        <v>6612046.5599999996</v>
      </c>
      <c r="G13" s="16"/>
      <c r="H13" s="15" t="s">
        <v>35</v>
      </c>
      <c r="I13" s="52">
        <v>62</v>
      </c>
      <c r="J13" s="52">
        <v>551004</v>
      </c>
      <c r="K13" s="52">
        <f>60*8</f>
        <v>480</v>
      </c>
      <c r="L13" s="16">
        <f t="shared" ref="L13" si="16">+I13*J13</f>
        <v>34162248</v>
      </c>
      <c r="M13" s="16">
        <f>+L13/655.957</f>
        <v>52080.011342206883</v>
      </c>
      <c r="N13" s="16">
        <v>1574297</v>
      </c>
      <c r="O13" s="16">
        <f t="shared" si="4"/>
        <v>2400.0003048980343</v>
      </c>
      <c r="P13" s="16">
        <v>5368352</v>
      </c>
      <c r="Q13" s="16">
        <f t="shared" si="5"/>
        <v>8183.9998658448649</v>
      </c>
      <c r="R13" s="16">
        <f t="shared" si="6"/>
        <v>6942649</v>
      </c>
      <c r="S13" s="15">
        <f t="shared" si="7"/>
        <v>10584.0001707429</v>
      </c>
      <c r="T13" s="82">
        <f>141/8*J13</f>
        <v>9711445.5</v>
      </c>
      <c r="U13" s="16">
        <f t="shared" si="8"/>
        <v>14805.003224296715</v>
      </c>
      <c r="V13" s="16">
        <f>+R13+T13</f>
        <v>16654094.5</v>
      </c>
      <c r="W13" s="16">
        <f t="shared" si="8"/>
        <v>25389.003395039614</v>
      </c>
      <c r="X13" s="16">
        <v>6489251.4095999999</v>
      </c>
      <c r="Y13" s="16">
        <f t="shared" si="0"/>
        <v>9892.7999999999993</v>
      </c>
      <c r="Z13" s="16">
        <f t="shared" si="9"/>
        <v>23143345.909600001</v>
      </c>
      <c r="AA13" s="16">
        <f t="shared" si="10"/>
        <v>35281.803395039613</v>
      </c>
      <c r="AB13" s="16">
        <f t="shared" si="11"/>
        <v>11018902.090399999</v>
      </c>
      <c r="AC13" s="16">
        <f t="shared" ref="AC13" si="17">+AB13/655.957</f>
        <v>16798.207947167266</v>
      </c>
      <c r="AD13" s="43">
        <f t="shared" si="13"/>
        <v>0.67745383470080778</v>
      </c>
    </row>
    <row r="14" spans="1:31" ht="15" customHeight="1">
      <c r="A14" s="63" t="s">
        <v>36</v>
      </c>
      <c r="B14" s="51"/>
      <c r="C14" s="17"/>
      <c r="D14" s="17"/>
      <c r="E14" s="18">
        <f>SUM(E9:E13)</f>
        <v>181230</v>
      </c>
      <c r="F14" s="18">
        <f>SUM(F9:F13)</f>
        <v>118879087.11000001</v>
      </c>
      <c r="G14" s="19">
        <f>F14/$F$159</f>
        <v>0.16609369131904037</v>
      </c>
      <c r="H14" s="51"/>
      <c r="I14" s="51"/>
      <c r="J14" s="51"/>
      <c r="K14" s="51"/>
      <c r="L14" s="18">
        <f t="shared" ref="L14" si="18">SUM(L9:L13)</f>
        <v>214125928</v>
      </c>
      <c r="M14" s="18">
        <f>SUM(M9:M13)</f>
        <v>326432.87288648495</v>
      </c>
      <c r="N14" s="18">
        <f>SUM(N9:N13)</f>
        <v>35973273</v>
      </c>
      <c r="O14" s="18">
        <f t="shared" ref="O14:AC14" si="19">SUM(O9:O13)</f>
        <v>54840.901156630702</v>
      </c>
      <c r="P14" s="18">
        <f t="shared" si="19"/>
        <v>39235901</v>
      </c>
      <c r="Q14" s="18">
        <f t="shared" si="19"/>
        <v>59814.745478743265</v>
      </c>
      <c r="R14" s="18">
        <f t="shared" si="19"/>
        <v>75209174</v>
      </c>
      <c r="S14" s="18">
        <f t="shared" si="19"/>
        <v>114655.64663537398</v>
      </c>
      <c r="T14" s="18">
        <f>SUM(T9:T13)</f>
        <v>44584613.5</v>
      </c>
      <c r="U14" s="18">
        <f t="shared" si="19"/>
        <v>67968.805119847806</v>
      </c>
      <c r="V14" s="18">
        <f>SUM(V9:V13)</f>
        <v>119793787.5</v>
      </c>
      <c r="W14" s="18">
        <f>SUM(W9:W13)</f>
        <v>182624.45175522176</v>
      </c>
      <c r="X14" s="18">
        <f>SUM(X9:X13)</f>
        <v>42827033.409599997</v>
      </c>
      <c r="Y14" s="18">
        <f t="shared" si="19"/>
        <v>65289.391544872604</v>
      </c>
      <c r="Z14" s="18">
        <f>SUM(Z9:Z13)</f>
        <v>162620820.90959999</v>
      </c>
      <c r="AA14" s="18">
        <f>SUM(AA9:AA13)</f>
        <v>247913.84330009436</v>
      </c>
      <c r="AB14" s="18">
        <f>SUM(AB9:AB13)</f>
        <v>51505107.090399995</v>
      </c>
      <c r="AC14" s="18">
        <f t="shared" si="19"/>
        <v>78519.029586390578</v>
      </c>
      <c r="AD14" s="47">
        <f>+Z14/L14</f>
        <v>0.75946347286630322</v>
      </c>
      <c r="AE14" s="1" t="s">
        <v>2</v>
      </c>
    </row>
    <row r="15" spans="1:31" ht="15" customHeight="1">
      <c r="A15" s="59" t="s">
        <v>23</v>
      </c>
      <c r="B15" s="15"/>
      <c r="C15" s="52"/>
      <c r="D15" s="52"/>
      <c r="E15" s="16"/>
      <c r="F15" s="16">
        <f t="shared" si="1"/>
        <v>0</v>
      </c>
      <c r="G15" s="16"/>
      <c r="H15" s="15"/>
      <c r="I15" s="52"/>
      <c r="J15" s="52"/>
      <c r="K15" s="52"/>
      <c r="L15" s="16"/>
      <c r="M15" s="16"/>
      <c r="N15" s="16"/>
      <c r="O15" s="16"/>
      <c r="P15" s="16"/>
      <c r="Q15" s="16"/>
      <c r="R15" s="16"/>
      <c r="S15" s="15"/>
      <c r="T15" s="16"/>
      <c r="U15" s="16"/>
      <c r="V15" s="16"/>
      <c r="W15" s="16"/>
      <c r="X15" s="16"/>
      <c r="Y15" s="16"/>
      <c r="Z15" s="16"/>
      <c r="AA15" s="16"/>
      <c r="AB15" s="16"/>
      <c r="AC15" s="16"/>
      <c r="AD15" s="43"/>
    </row>
    <row r="16" spans="1:31" ht="30" customHeight="1">
      <c r="A16" s="62" t="s">
        <v>37</v>
      </c>
      <c r="B16" s="15"/>
      <c r="C16" s="52"/>
      <c r="D16" s="52"/>
      <c r="E16" s="16"/>
      <c r="F16" s="16">
        <f t="shared" si="1"/>
        <v>0</v>
      </c>
      <c r="G16" s="16"/>
      <c r="H16" s="15"/>
      <c r="I16" s="52"/>
      <c r="J16" s="52" t="s">
        <v>2</v>
      </c>
      <c r="K16" s="52"/>
      <c r="L16" s="16"/>
      <c r="M16" s="16"/>
      <c r="N16" s="16"/>
      <c r="O16" s="16"/>
      <c r="P16" s="16"/>
      <c r="Q16" s="16"/>
      <c r="R16" s="16"/>
      <c r="S16" s="15"/>
      <c r="T16" s="16"/>
      <c r="U16" s="16"/>
      <c r="V16" s="16"/>
      <c r="W16" s="16"/>
      <c r="X16" s="16"/>
      <c r="Y16" s="16"/>
      <c r="Z16" s="16"/>
      <c r="AA16" s="16"/>
      <c r="AB16" s="16"/>
      <c r="AC16" s="16"/>
      <c r="AD16" s="43"/>
    </row>
    <row r="17" spans="1:30" ht="15" customHeight="1">
      <c r="A17" s="62" t="s">
        <v>38</v>
      </c>
      <c r="B17" s="15" t="s">
        <v>30</v>
      </c>
      <c r="C17" s="52">
        <f>42*0.15</f>
        <v>6.3</v>
      </c>
      <c r="D17" s="52">
        <v>2600</v>
      </c>
      <c r="E17" s="16">
        <f>C17*D17</f>
        <v>16380</v>
      </c>
      <c r="F17" s="16">
        <f t="shared" si="1"/>
        <v>10744575.66</v>
      </c>
      <c r="G17" s="16"/>
      <c r="H17" s="15" t="s">
        <v>30</v>
      </c>
      <c r="I17" s="52">
        <v>62</v>
      </c>
      <c r="J17" s="52">
        <f>1705548*15%</f>
        <v>255832.19999999998</v>
      </c>
      <c r="K17" s="52">
        <f>J17/$B$2</f>
        <v>390.01367467684616</v>
      </c>
      <c r="L17" s="16">
        <f t="shared" ref="L17:L20" si="20">+I17*J17</f>
        <v>15861596.399999999</v>
      </c>
      <c r="M17" s="16">
        <f>+L17/655.957</f>
        <v>24180.847829964463</v>
      </c>
      <c r="N17" s="16">
        <v>1691713</v>
      </c>
      <c r="O17" s="16">
        <f t="shared" ref="O17:O20" si="21">+N17/655.957</f>
        <v>2578.9998429775123</v>
      </c>
      <c r="P17" s="16">
        <v>31864</v>
      </c>
      <c r="Q17" s="16">
        <f t="shared" ref="Q17:Q20" si="22">+P17/655.957</f>
        <v>48.576354852528446</v>
      </c>
      <c r="R17" s="16">
        <f t="shared" ref="R17:R20" si="23">N17+P17</f>
        <v>1723577</v>
      </c>
      <c r="S17" s="15">
        <f t="shared" ref="S17:S20" si="24">+R17/655.957</f>
        <v>2627.5761978300407</v>
      </c>
      <c r="T17" s="27">
        <v>3069879</v>
      </c>
      <c r="U17" s="16">
        <f t="shared" ref="U17:U20" si="25">+T17/655.957</f>
        <v>4680.0003658776413</v>
      </c>
      <c r="V17" s="16">
        <f>+R17+T17</f>
        <v>4793456</v>
      </c>
      <c r="W17" s="16">
        <f t="shared" ref="W17:W20" si="26">+V17/655.957</f>
        <v>7307.576563707682</v>
      </c>
      <c r="X17" s="27">
        <v>1822341.04</v>
      </c>
      <c r="Y17" s="16">
        <f t="shared" ref="Y17:Y20" si="27">+X17/655.957</f>
        <v>2778.1410061940037</v>
      </c>
      <c r="Z17" s="16">
        <f t="shared" ref="Z17:Z20" si="28">+V17+X17</f>
        <v>6615797.04</v>
      </c>
      <c r="AA17" s="16">
        <f t="shared" ref="AA17:AA20" si="29">+Z17/655.957</f>
        <v>10085.717569901686</v>
      </c>
      <c r="AB17" s="16">
        <f t="shared" ref="AB17:AB20" si="30">+L17-Z17</f>
        <v>9245799.3599999994</v>
      </c>
      <c r="AC17" s="16">
        <f t="shared" ref="AC17" si="31">+AB17/655.957</f>
        <v>14095.130260062777</v>
      </c>
      <c r="AD17" s="43">
        <f t="shared" ref="AD17:AD20" si="32">+Z17/L17</f>
        <v>0.41709528304477606</v>
      </c>
    </row>
    <row r="18" spans="1:30" ht="15" customHeight="1">
      <c r="A18" s="62" t="s">
        <v>39</v>
      </c>
      <c r="B18" s="15" t="s">
        <v>30</v>
      </c>
      <c r="C18" s="52">
        <v>42</v>
      </c>
      <c r="D18" s="52">
        <v>1750</v>
      </c>
      <c r="E18" s="16">
        <f>C18*D18</f>
        <v>73500</v>
      </c>
      <c r="F18" s="16">
        <f t="shared" si="1"/>
        <v>48212839.5</v>
      </c>
      <c r="G18" s="16"/>
      <c r="H18" s="15" t="s">
        <v>30</v>
      </c>
      <c r="I18" s="52">
        <v>62</v>
      </c>
      <c r="J18" s="52">
        <v>1147925</v>
      </c>
      <c r="K18" s="52">
        <f>J18/$B$2</f>
        <v>1750.0003811225431</v>
      </c>
      <c r="L18" s="16">
        <f t="shared" si="20"/>
        <v>71171350</v>
      </c>
      <c r="M18" s="16">
        <f t="shared" ref="M18:M19" si="33">+L18/655.957</f>
        <v>108500.02362959768</v>
      </c>
      <c r="N18" s="16">
        <v>14839059.48</v>
      </c>
      <c r="O18" s="16">
        <f t="shared" si="21"/>
        <v>22622.000344534779</v>
      </c>
      <c r="P18" s="16">
        <v>13589925</v>
      </c>
      <c r="Q18" s="16">
        <f t="shared" si="22"/>
        <v>20717.707105801142</v>
      </c>
      <c r="R18" s="16">
        <f t="shared" si="23"/>
        <v>28428984.48</v>
      </c>
      <c r="S18" s="15">
        <f t="shared" si="24"/>
        <v>43339.707450335925</v>
      </c>
      <c r="T18" s="27">
        <v>13742299</v>
      </c>
      <c r="U18" s="16">
        <f t="shared" si="25"/>
        <v>20949.999771326475</v>
      </c>
      <c r="V18" s="16">
        <f>+R18+T18</f>
        <v>42171283.480000004</v>
      </c>
      <c r="W18" s="16">
        <f t="shared" si="26"/>
        <v>64289.7072216624</v>
      </c>
      <c r="X18" s="27">
        <v>14977657.060000001</v>
      </c>
      <c r="Y18" s="16">
        <f t="shared" si="27"/>
        <v>22833.290993159615</v>
      </c>
      <c r="Z18" s="16">
        <f t="shared" si="28"/>
        <v>57148940.540000007</v>
      </c>
      <c r="AA18" s="16">
        <f t="shared" si="29"/>
        <v>87122.998214822015</v>
      </c>
      <c r="AB18" s="16">
        <f t="shared" si="30"/>
        <v>14022409.459999993</v>
      </c>
      <c r="AC18" s="16">
        <f t="shared" ref="AC18" si="34">+AB18/655.957</f>
        <v>21377.025414775653</v>
      </c>
      <c r="AD18" s="43">
        <f t="shared" si="32"/>
        <v>0.80297676719635092</v>
      </c>
    </row>
    <row r="19" spans="1:30" ht="15" customHeight="1">
      <c r="A19" s="62" t="s">
        <v>40</v>
      </c>
      <c r="B19" s="15" t="s">
        <v>30</v>
      </c>
      <c r="C19" s="52">
        <v>10.5</v>
      </c>
      <c r="D19" s="52">
        <v>2050</v>
      </c>
      <c r="E19" s="16">
        <f>C19*D19</f>
        <v>21525</v>
      </c>
      <c r="F19" s="16">
        <f t="shared" si="1"/>
        <v>14119474.425000001</v>
      </c>
      <c r="G19" s="16"/>
      <c r="H19" s="15" t="s">
        <v>30</v>
      </c>
      <c r="I19" s="52">
        <v>62</v>
      </c>
      <c r="J19" s="52">
        <f>1344712*25%</f>
        <v>336178</v>
      </c>
      <c r="K19" s="52">
        <f>J19/$B$2</f>
        <v>512.50005716838143</v>
      </c>
      <c r="L19" s="16">
        <f t="shared" si="20"/>
        <v>20843036</v>
      </c>
      <c r="M19" s="16">
        <f t="shared" si="33"/>
        <v>31775.003544439653</v>
      </c>
      <c r="N19" s="16">
        <v>2224350.48</v>
      </c>
      <c r="O19" s="16">
        <f t="shared" si="21"/>
        <v>3391.0004466756204</v>
      </c>
      <c r="P19" s="16">
        <v>262134</v>
      </c>
      <c r="Q19" s="16">
        <f t="shared" si="22"/>
        <v>399.62070684511332</v>
      </c>
      <c r="R19" s="16">
        <f t="shared" si="23"/>
        <v>2486484.48</v>
      </c>
      <c r="S19" s="15">
        <f t="shared" si="24"/>
        <v>3790.621153520734</v>
      </c>
      <c r="T19" s="27">
        <v>4034136</v>
      </c>
      <c r="U19" s="16">
        <f t="shared" si="25"/>
        <v>6150.0006860205776</v>
      </c>
      <c r="V19" s="16">
        <f>+R19+T19</f>
        <v>6520620.4800000004</v>
      </c>
      <c r="W19" s="16">
        <f t="shared" si="26"/>
        <v>9940.6218395413125</v>
      </c>
      <c r="X19" s="27">
        <v>4126559.24</v>
      </c>
      <c r="Y19" s="16">
        <f t="shared" si="27"/>
        <v>6290.8990070995515</v>
      </c>
      <c r="Z19" s="16">
        <f t="shared" si="28"/>
        <v>10647179.720000001</v>
      </c>
      <c r="AA19" s="16">
        <f t="shared" si="29"/>
        <v>16231.520846640864</v>
      </c>
      <c r="AB19" s="16">
        <f t="shared" si="30"/>
        <v>10195856.279999999</v>
      </c>
      <c r="AC19" s="16">
        <f t="shared" ref="AC19" si="35">+AB19/655.957</f>
        <v>15543.482697798789</v>
      </c>
      <c r="AD19" s="43">
        <f t="shared" si="32"/>
        <v>0.51082672025322995</v>
      </c>
    </row>
    <row r="20" spans="1:30" ht="15" customHeight="1">
      <c r="A20" s="62" t="s">
        <v>41</v>
      </c>
      <c r="B20" s="15" t="s">
        <v>30</v>
      </c>
      <c r="C20" s="52">
        <f>42*0.2</f>
        <v>8.4</v>
      </c>
      <c r="D20" s="52">
        <v>1750</v>
      </c>
      <c r="E20" s="16">
        <f>C20*D20</f>
        <v>14700</v>
      </c>
      <c r="F20" s="16">
        <f t="shared" si="1"/>
        <v>9642567.9000000004</v>
      </c>
      <c r="G20" s="16"/>
      <c r="H20" s="15" t="s">
        <v>30</v>
      </c>
      <c r="I20" s="52"/>
      <c r="J20" s="52">
        <v>0</v>
      </c>
      <c r="K20" s="52"/>
      <c r="L20" s="16">
        <f t="shared" si="20"/>
        <v>0</v>
      </c>
      <c r="M20" s="16">
        <f t="shared" ref="M20" si="36">+L20*655.957</f>
        <v>0</v>
      </c>
      <c r="N20" s="16"/>
      <c r="O20" s="16">
        <f t="shared" si="21"/>
        <v>0</v>
      </c>
      <c r="P20" s="16"/>
      <c r="Q20" s="16">
        <f t="shared" si="22"/>
        <v>0</v>
      </c>
      <c r="R20" s="16">
        <f t="shared" si="23"/>
        <v>0</v>
      </c>
      <c r="S20" s="15">
        <f t="shared" si="24"/>
        <v>0</v>
      </c>
      <c r="T20" s="27"/>
      <c r="U20" s="16">
        <f t="shared" si="25"/>
        <v>0</v>
      </c>
      <c r="V20" s="16">
        <f>+R20+T20</f>
        <v>0</v>
      </c>
      <c r="W20" s="16">
        <f t="shared" si="26"/>
        <v>0</v>
      </c>
      <c r="X20" s="27"/>
      <c r="Y20" s="16">
        <f t="shared" si="27"/>
        <v>0</v>
      </c>
      <c r="Z20" s="16">
        <f t="shared" si="28"/>
        <v>0</v>
      </c>
      <c r="AA20" s="16">
        <f t="shared" si="29"/>
        <v>0</v>
      </c>
      <c r="AB20" s="16">
        <f t="shared" si="30"/>
        <v>0</v>
      </c>
      <c r="AC20" s="16">
        <f t="shared" ref="AC20" si="37">+AB20/655.957</f>
        <v>0</v>
      </c>
      <c r="AD20" s="43" t="e">
        <f t="shared" si="32"/>
        <v>#DIV/0!</v>
      </c>
    </row>
    <row r="21" spans="1:30" ht="15" customHeight="1">
      <c r="A21" s="63" t="s">
        <v>42</v>
      </c>
      <c r="B21" s="51"/>
      <c r="C21" s="17"/>
      <c r="D21" s="17"/>
      <c r="E21" s="18">
        <f>SUM(E17:E20)</f>
        <v>126105</v>
      </c>
      <c r="F21" s="18">
        <f>+E21*655.957</f>
        <v>82719457.484999999</v>
      </c>
      <c r="G21" s="19">
        <f>F21/$F$159</f>
        <v>0.11557272495606458</v>
      </c>
      <c r="H21" s="51"/>
      <c r="I21" s="17"/>
      <c r="J21" s="17"/>
      <c r="K21" s="17"/>
      <c r="L21" s="18">
        <f>SUM(L17:L20)</f>
        <v>107875982.40000001</v>
      </c>
      <c r="M21" s="18">
        <f>SUM(M17:M20)</f>
        <v>164455.87500400181</v>
      </c>
      <c r="N21" s="18">
        <f>SUM(N17:N20)</f>
        <v>18755122.960000001</v>
      </c>
      <c r="O21" s="18">
        <f t="shared" ref="O21:U21" si="38">SUM(O17:O20)</f>
        <v>28592.000634187913</v>
      </c>
      <c r="P21" s="18">
        <f t="shared" si="38"/>
        <v>13883923</v>
      </c>
      <c r="Q21" s="18">
        <f t="shared" si="38"/>
        <v>21165.904167498786</v>
      </c>
      <c r="R21" s="18">
        <f t="shared" si="38"/>
        <v>32639045.960000001</v>
      </c>
      <c r="S21" s="18">
        <f t="shared" si="38"/>
        <v>49757.904801686702</v>
      </c>
      <c r="T21" s="18">
        <f>SUM(T17:T20)</f>
        <v>20846314</v>
      </c>
      <c r="U21" s="18">
        <f t="shared" si="38"/>
        <v>31780.000823224691</v>
      </c>
      <c r="V21" s="18">
        <f t="shared" ref="V21:AC21" si="39">SUM(V17:V20)</f>
        <v>53485359.960000008</v>
      </c>
      <c r="W21" s="18">
        <f t="shared" si="39"/>
        <v>81537.905624911393</v>
      </c>
      <c r="X21" s="18">
        <f>SUM(X17:X20)</f>
        <v>20926557.340000004</v>
      </c>
      <c r="Y21" s="18">
        <f t="shared" ref="Y21:AA21" si="40">SUM(Y17:Y20)</f>
        <v>31902.331006453169</v>
      </c>
      <c r="Z21" s="18">
        <f t="shared" si="40"/>
        <v>74411917.300000012</v>
      </c>
      <c r="AA21" s="18">
        <f t="shared" si="40"/>
        <v>113440.23663136456</v>
      </c>
      <c r="AB21" s="18">
        <f>SUM(AB17:AB20)</f>
        <v>33464065.099999994</v>
      </c>
      <c r="AC21" s="18">
        <f t="shared" si="39"/>
        <v>51015.638372637222</v>
      </c>
      <c r="AD21" s="47"/>
    </row>
    <row r="22" spans="1:30" ht="15" customHeight="1" collapsed="1">
      <c r="A22" s="63" t="s">
        <v>43</v>
      </c>
      <c r="B22" s="51"/>
      <c r="C22" s="17"/>
      <c r="D22" s="17"/>
      <c r="E22" s="18">
        <f>E14+E21</f>
        <v>307335</v>
      </c>
      <c r="F22" s="18">
        <f t="shared" si="1"/>
        <v>201598544.595</v>
      </c>
      <c r="G22" s="19">
        <f>F22/$F$159</f>
        <v>0.28166641627510491</v>
      </c>
      <c r="H22" s="51"/>
      <c r="I22" s="17"/>
      <c r="J22" s="17"/>
      <c r="K22" s="17"/>
      <c r="L22" s="18">
        <f>L14+L21</f>
        <v>322001910.39999998</v>
      </c>
      <c r="M22" s="18">
        <f>M14+M21</f>
        <v>490888.74789048673</v>
      </c>
      <c r="N22" s="18">
        <f>N14+N21</f>
        <v>54728395.960000001</v>
      </c>
      <c r="O22" s="18">
        <f t="shared" ref="O22:U22" si="41">O14+O21</f>
        <v>83432.901790818607</v>
      </c>
      <c r="P22" s="18">
        <f t="shared" si="41"/>
        <v>53119824</v>
      </c>
      <c r="Q22" s="18">
        <f t="shared" si="41"/>
        <v>80980.649646242047</v>
      </c>
      <c r="R22" s="18">
        <f t="shared" si="41"/>
        <v>107848219.96000001</v>
      </c>
      <c r="S22" s="18">
        <f t="shared" si="41"/>
        <v>164413.5514370607</v>
      </c>
      <c r="T22" s="18">
        <f>T14+T21</f>
        <v>65430927.5</v>
      </c>
      <c r="U22" s="18">
        <f t="shared" si="41"/>
        <v>99748.805943072497</v>
      </c>
      <c r="V22" s="18">
        <f t="shared" ref="V22:AC22" si="42">V14+V21</f>
        <v>173279147.46000001</v>
      </c>
      <c r="W22" s="18">
        <f t="shared" si="42"/>
        <v>264162.35738013312</v>
      </c>
      <c r="X22" s="18">
        <f>X14+X21</f>
        <v>63753590.749600001</v>
      </c>
      <c r="Y22" s="18">
        <f t="shared" ref="Y22:AA22" si="43">Y14+Y21</f>
        <v>97191.722551325773</v>
      </c>
      <c r="Z22" s="18">
        <f t="shared" si="43"/>
        <v>237032738.2096</v>
      </c>
      <c r="AA22" s="18">
        <f t="shared" si="43"/>
        <v>361354.07993145892</v>
      </c>
      <c r="AB22" s="18">
        <f>AB14+AB21</f>
        <v>84969172.190399989</v>
      </c>
      <c r="AC22" s="18">
        <f t="shared" si="42"/>
        <v>129534.66795902781</v>
      </c>
      <c r="AD22" s="47"/>
    </row>
    <row r="23" spans="1:30" ht="15" customHeight="1">
      <c r="A23" s="61" t="s">
        <v>44</v>
      </c>
      <c r="B23" s="12"/>
      <c r="C23" s="3"/>
      <c r="D23" s="3"/>
      <c r="E23" s="13"/>
      <c r="F23" s="16">
        <f t="shared" si="1"/>
        <v>0</v>
      </c>
      <c r="G23" s="16"/>
      <c r="H23" s="12"/>
      <c r="I23" s="3"/>
      <c r="J23" s="3"/>
      <c r="K23" s="3"/>
      <c r="L23" s="13"/>
      <c r="M23" s="13"/>
      <c r="N23" s="13"/>
      <c r="O23" s="13"/>
      <c r="P23" s="13"/>
      <c r="Q23" s="13"/>
      <c r="R23" s="13"/>
      <c r="S23" s="12"/>
      <c r="T23" s="13"/>
      <c r="U23" s="13"/>
      <c r="V23" s="13"/>
      <c r="W23" s="13"/>
      <c r="X23" s="13"/>
      <c r="Y23" s="13"/>
      <c r="Z23" s="13"/>
      <c r="AA23" s="13"/>
      <c r="AB23" s="13"/>
      <c r="AC23" s="13"/>
      <c r="AD23" s="46"/>
    </row>
    <row r="24" spans="1:30" ht="15" customHeight="1">
      <c r="A24" s="62" t="s">
        <v>45</v>
      </c>
      <c r="B24" s="15" t="s">
        <v>30</v>
      </c>
      <c r="C24" s="52">
        <v>21</v>
      </c>
      <c r="D24" s="52">
        <v>250</v>
      </c>
      <c r="E24" s="16">
        <f>C24*D24</f>
        <v>5250</v>
      </c>
      <c r="F24" s="16">
        <f>+E24*655.957</f>
        <v>3443774.25</v>
      </c>
      <c r="G24" s="16"/>
      <c r="H24" s="15" t="s">
        <v>30</v>
      </c>
      <c r="I24" s="52">
        <v>62</v>
      </c>
      <c r="J24" s="52">
        <f>81994.5*2</f>
        <v>163989</v>
      </c>
      <c r="K24" s="52">
        <f>J24/$B$2</f>
        <v>249.9996188774569</v>
      </c>
      <c r="L24" s="16">
        <f>I24*J24</f>
        <v>10167318</v>
      </c>
      <c r="M24" s="16">
        <f>+L24/655.957</f>
        <v>15499.976370402328</v>
      </c>
      <c r="N24" s="16">
        <v>1186600</v>
      </c>
      <c r="O24" s="16">
        <f t="shared" ref="O24:O25" si="44">+N24/655.957</f>
        <v>1808.9600385391116</v>
      </c>
      <c r="P24" s="16">
        <v>1925000</v>
      </c>
      <c r="Q24" s="16">
        <f t="shared" ref="Q24:Q25" si="45">+P24/655.957</f>
        <v>2934.6435818201498</v>
      </c>
      <c r="R24" s="16">
        <f t="shared" ref="R24:R25" si="46">N24+P24</f>
        <v>3111600</v>
      </c>
      <c r="S24" s="15">
        <f t="shared" ref="S24:S25" si="47">+R24/655.957</f>
        <v>4743.6036203592612</v>
      </c>
      <c r="T24" s="16">
        <v>1840000</v>
      </c>
      <c r="U24" s="16">
        <f t="shared" ref="U24:U25" si="48">+T24/655.957</f>
        <v>2805.0619171683511</v>
      </c>
      <c r="V24" s="16">
        <f>+R24+T24</f>
        <v>4951600</v>
      </c>
      <c r="W24" s="16">
        <f t="shared" ref="W24:W25" si="49">+V24/655.957</f>
        <v>7548.6655375276123</v>
      </c>
      <c r="X24" s="16">
        <v>1979234</v>
      </c>
      <c r="Y24" s="16">
        <f t="shared" ref="Y24:Y25" si="50">+X24/655.957</f>
        <v>3017.3227818286869</v>
      </c>
      <c r="Z24" s="16">
        <f t="shared" ref="Z24:Z25" si="51">+V24+X24</f>
        <v>6930834</v>
      </c>
      <c r="AA24" s="16">
        <f t="shared" ref="AA24:AA25" si="52">+Z24/655.957</f>
        <v>10565.9883193563</v>
      </c>
      <c r="AB24" s="16">
        <f t="shared" ref="AB24:AB25" si="53">+L24-Z24</f>
        <v>3236484</v>
      </c>
      <c r="AC24" s="16">
        <f t="shared" ref="AC24" si="54">+AB24/655.957</f>
        <v>4933.9880510460289</v>
      </c>
      <c r="AD24" s="43">
        <f t="shared" ref="AD24:AD25" si="55">+Z24/L24</f>
        <v>0.68167770497588454</v>
      </c>
    </row>
    <row r="25" spans="1:30" ht="15" customHeight="1">
      <c r="A25" s="62" t="s">
        <v>46</v>
      </c>
      <c r="B25" s="15" t="s">
        <v>30</v>
      </c>
      <c r="C25" s="52">
        <v>21</v>
      </c>
      <c r="D25" s="52">
        <v>250</v>
      </c>
      <c r="E25" s="16">
        <f>C25*D25</f>
        <v>5250</v>
      </c>
      <c r="F25" s="16">
        <f>+E25*655.957</f>
        <v>3443774.25</v>
      </c>
      <c r="G25" s="16"/>
      <c r="H25" s="15" t="s">
        <v>30</v>
      </c>
      <c r="I25" s="52">
        <v>62</v>
      </c>
      <c r="J25" s="52">
        <f>81994.5*2</f>
        <v>163989</v>
      </c>
      <c r="K25" s="52">
        <f>J25/$B$2</f>
        <v>249.9996188774569</v>
      </c>
      <c r="L25" s="16">
        <f>I25*J25</f>
        <v>10167318</v>
      </c>
      <c r="M25" s="16">
        <f>+L25/655.957</f>
        <v>15499.976370402328</v>
      </c>
      <c r="N25" s="16">
        <v>827162</v>
      </c>
      <c r="O25" s="16">
        <f t="shared" si="44"/>
        <v>1261.0003399613086</v>
      </c>
      <c r="P25" s="16">
        <v>1266791</v>
      </c>
      <c r="Q25" s="16">
        <f t="shared" si="45"/>
        <v>1931.2104299519633</v>
      </c>
      <c r="R25" s="16">
        <f t="shared" si="46"/>
        <v>2093953</v>
      </c>
      <c r="S25" s="15">
        <f t="shared" si="47"/>
        <v>3192.2107699132716</v>
      </c>
      <c r="T25" s="27">
        <v>2043306</v>
      </c>
      <c r="U25" s="16">
        <f t="shared" si="48"/>
        <v>3114.9999161530404</v>
      </c>
      <c r="V25" s="16">
        <f>+R25+T25</f>
        <v>4137259</v>
      </c>
      <c r="W25" s="16">
        <f t="shared" si="49"/>
        <v>6307.2106860663125</v>
      </c>
      <c r="X25" s="27">
        <v>1911452.14</v>
      </c>
      <c r="Y25" s="16">
        <f t="shared" si="50"/>
        <v>2913.9900023934492</v>
      </c>
      <c r="Z25" s="16">
        <f t="shared" si="51"/>
        <v>6048711.1399999997</v>
      </c>
      <c r="AA25" s="16">
        <f t="shared" si="52"/>
        <v>9221.2006884597613</v>
      </c>
      <c r="AB25" s="16">
        <f t="shared" si="53"/>
        <v>4118606.8600000003</v>
      </c>
      <c r="AC25" s="16">
        <f t="shared" ref="AC25" si="56">+AB25/655.957</f>
        <v>6278.7756819425667</v>
      </c>
      <c r="AD25" s="43">
        <f t="shared" si="55"/>
        <v>0.59491708039425928</v>
      </c>
    </row>
    <row r="26" spans="1:30" ht="15" customHeight="1" collapsed="1">
      <c r="A26" s="63" t="s">
        <v>47</v>
      </c>
      <c r="B26" s="51"/>
      <c r="C26" s="51"/>
      <c r="D26" s="51"/>
      <c r="E26" s="18">
        <f>SUM(E24:E25)</f>
        <v>10500</v>
      </c>
      <c r="F26" s="18">
        <f>+E26*655.957</f>
        <v>6887548.5</v>
      </c>
      <c r="G26" s="19">
        <f>F26/$F$159</f>
        <v>9.6230412119953854E-3</v>
      </c>
      <c r="H26" s="51"/>
      <c r="I26" s="51"/>
      <c r="J26" s="51"/>
      <c r="K26" s="51"/>
      <c r="L26" s="18">
        <f>SUM(L24:L25)</f>
        <v>20334636</v>
      </c>
      <c r="M26" s="18">
        <f>SUM(M24:M25)</f>
        <v>30999.952740804656</v>
      </c>
      <c r="N26" s="18">
        <f>SUM(N24:N25)</f>
        <v>2013762</v>
      </c>
      <c r="O26" s="18">
        <f t="shared" ref="O26:AC26" si="57">SUM(O24:O25)</f>
        <v>3069.9603785004201</v>
      </c>
      <c r="P26" s="18">
        <f t="shared" si="57"/>
        <v>3191791</v>
      </c>
      <c r="Q26" s="18">
        <f t="shared" si="57"/>
        <v>4865.8540117721132</v>
      </c>
      <c r="R26" s="18">
        <f t="shared" si="57"/>
        <v>5205553</v>
      </c>
      <c r="S26" s="18">
        <f t="shared" si="57"/>
        <v>7935.8143902725333</v>
      </c>
      <c r="T26" s="18">
        <f>SUM(T24:T25)</f>
        <v>3883306</v>
      </c>
      <c r="U26" s="18">
        <f t="shared" si="57"/>
        <v>5920.0618333213915</v>
      </c>
      <c r="V26" s="18">
        <f>SUM(V24:V25)</f>
        <v>9088859</v>
      </c>
      <c r="W26" s="18">
        <f>SUM(W24:W25)</f>
        <v>13855.876223593925</v>
      </c>
      <c r="X26" s="18">
        <f>SUM(X24:X25)</f>
        <v>3890686.1399999997</v>
      </c>
      <c r="Y26" s="18">
        <f t="shared" si="57"/>
        <v>5931.3127842221365</v>
      </c>
      <c r="Z26" s="18">
        <f>SUM(Z24:Z25)</f>
        <v>12979545.140000001</v>
      </c>
      <c r="AA26" s="18">
        <f>SUM(AA24:AA25)</f>
        <v>19787.189007816061</v>
      </c>
      <c r="AB26" s="18">
        <f>SUM(AB24:AB25)</f>
        <v>7355090.8600000003</v>
      </c>
      <c r="AC26" s="18">
        <f t="shared" si="57"/>
        <v>11212.763732988595</v>
      </c>
      <c r="AD26" s="47"/>
    </row>
    <row r="27" spans="1:30" ht="15" customHeight="1">
      <c r="A27" s="61" t="s">
        <v>48</v>
      </c>
      <c r="B27" s="12"/>
      <c r="C27" s="3"/>
      <c r="D27" s="3"/>
      <c r="E27" s="13"/>
      <c r="F27" s="16">
        <f t="shared" si="1"/>
        <v>0</v>
      </c>
      <c r="G27" s="16"/>
      <c r="H27" s="12"/>
      <c r="I27" s="3"/>
      <c r="J27" s="3"/>
      <c r="K27" s="3"/>
      <c r="L27" s="13"/>
      <c r="M27" s="13"/>
      <c r="N27" s="13"/>
      <c r="O27" s="13"/>
      <c r="P27" s="13"/>
      <c r="Q27" s="13"/>
      <c r="R27" s="13"/>
      <c r="S27" s="12"/>
      <c r="T27" s="13"/>
      <c r="U27" s="13"/>
      <c r="V27" s="13"/>
      <c r="W27" s="13"/>
      <c r="X27" s="13"/>
      <c r="Y27" s="13"/>
      <c r="Z27" s="13"/>
      <c r="AA27" s="13"/>
      <c r="AB27" s="13"/>
      <c r="AC27" s="13"/>
      <c r="AD27" s="46"/>
    </row>
    <row r="28" spans="1:30" ht="15" customHeight="1">
      <c r="A28" s="61" t="s">
        <v>22</v>
      </c>
      <c r="B28" s="12"/>
      <c r="C28" s="3"/>
      <c r="D28" s="3"/>
      <c r="E28" s="13"/>
      <c r="F28" s="16"/>
      <c r="G28" s="16"/>
      <c r="H28" s="12"/>
      <c r="I28" s="3"/>
      <c r="J28" s="3"/>
      <c r="K28" s="3"/>
      <c r="L28" s="13"/>
      <c r="M28" s="13"/>
      <c r="N28" s="13"/>
      <c r="O28" s="13"/>
      <c r="P28" s="13"/>
      <c r="Q28" s="13"/>
      <c r="R28" s="13"/>
      <c r="S28" s="12"/>
      <c r="T28" s="13"/>
      <c r="U28" s="13"/>
      <c r="V28" s="13"/>
      <c r="W28" s="13"/>
      <c r="X28" s="13"/>
      <c r="Y28" s="13"/>
      <c r="Z28" s="13"/>
      <c r="AA28" s="13"/>
      <c r="AB28" s="13"/>
      <c r="AC28" s="13"/>
      <c r="AD28" s="46"/>
    </row>
    <row r="29" spans="1:30" ht="24" customHeight="1">
      <c r="A29" s="62" t="s">
        <v>49</v>
      </c>
      <c r="B29" s="15" t="s">
        <v>50</v>
      </c>
      <c r="C29" s="52">
        <v>3</v>
      </c>
      <c r="D29" s="52">
        <v>1100</v>
      </c>
      <c r="E29" s="16">
        <f>C29*D29</f>
        <v>3300</v>
      </c>
      <c r="F29" s="16">
        <f t="shared" si="1"/>
        <v>2164658.1</v>
      </c>
      <c r="G29" s="16"/>
      <c r="H29" s="15" t="s">
        <v>50</v>
      </c>
      <c r="I29" s="52">
        <v>4</v>
      </c>
      <c r="J29" s="52">
        <v>721552.7</v>
      </c>
      <c r="K29" s="52">
        <f t="shared" ref="K29:K34" si="58">J29/$B$2</f>
        <v>1100</v>
      </c>
      <c r="L29" s="16">
        <f>I29*J29</f>
        <v>2886210.8</v>
      </c>
      <c r="M29" s="16">
        <f>+L29/655.957</f>
        <v>4400</v>
      </c>
      <c r="N29" s="16">
        <v>2886200</v>
      </c>
      <c r="O29" s="16">
        <f t="shared" ref="O29:O34" si="59">+N29/655.957</f>
        <v>4399.9835355061387</v>
      </c>
      <c r="P29" s="16"/>
      <c r="Q29" s="16">
        <f t="shared" ref="Q29:Q34" si="60">+P29/655.957</f>
        <v>0</v>
      </c>
      <c r="R29" s="16">
        <f t="shared" ref="R29:R34" si="61">N29+P29</f>
        <v>2886200</v>
      </c>
      <c r="S29" s="15">
        <f t="shared" ref="S29:S34" si="62">+R29/655.957</f>
        <v>4399.9835355061387</v>
      </c>
      <c r="T29" s="16"/>
      <c r="U29" s="16">
        <f t="shared" ref="U29:U34" si="63">+T29/655.957</f>
        <v>0</v>
      </c>
      <c r="V29" s="16">
        <f t="shared" ref="V29:V34" si="64">+R29+T29</f>
        <v>2886200</v>
      </c>
      <c r="W29" s="16">
        <f t="shared" ref="W29:W34" si="65">+V29/655.957</f>
        <v>4399.9835355061387</v>
      </c>
      <c r="X29" s="16"/>
      <c r="Y29" s="16">
        <f t="shared" ref="Y29:Y34" si="66">+X29/655.957</f>
        <v>0</v>
      </c>
      <c r="Z29" s="16">
        <f t="shared" ref="Z29:Z34" si="67">+V29+X29</f>
        <v>2886200</v>
      </c>
      <c r="AA29" s="16">
        <f t="shared" ref="AA29:AA34" si="68">+Z29/655.957</f>
        <v>4399.9835355061387</v>
      </c>
      <c r="AB29" s="16">
        <f t="shared" ref="AB29:AB34" si="69">+L29-Z29</f>
        <v>10.799999999813735</v>
      </c>
      <c r="AC29" s="16">
        <f t="shared" ref="AC29" si="70">+AB29/655.957</f>
        <v>1.6464493861356361E-2</v>
      </c>
      <c r="AD29" s="43">
        <f t="shared" ref="AD29:AD34" si="71">+Z29/L29</f>
        <v>0.99999625806957693</v>
      </c>
    </row>
    <row r="30" spans="1:30" ht="15" customHeight="1">
      <c r="A30" s="62" t="s">
        <v>51</v>
      </c>
      <c r="B30" s="15" t="s">
        <v>52</v>
      </c>
      <c r="C30" s="52">
        <v>1</v>
      </c>
      <c r="D30" s="52">
        <v>500</v>
      </c>
      <c r="E30" s="16">
        <f>C30*D30</f>
        <v>500</v>
      </c>
      <c r="F30" s="16">
        <f t="shared" si="1"/>
        <v>327978.5</v>
      </c>
      <c r="G30" s="16"/>
      <c r="H30" s="15" t="s">
        <v>52</v>
      </c>
      <c r="I30" s="52">
        <v>1</v>
      </c>
      <c r="J30" s="52">
        <v>327978.5</v>
      </c>
      <c r="K30" s="52">
        <f t="shared" si="58"/>
        <v>500</v>
      </c>
      <c r="L30" s="16">
        <f>I30*J30</f>
        <v>327978.5</v>
      </c>
      <c r="M30" s="16">
        <f>+L30/655.957</f>
        <v>500</v>
      </c>
      <c r="N30" s="16">
        <v>379700</v>
      </c>
      <c r="O30" s="16">
        <f t="shared" si="59"/>
        <v>578.84891845044717</v>
      </c>
      <c r="P30" s="16"/>
      <c r="Q30" s="16">
        <f t="shared" si="60"/>
        <v>0</v>
      </c>
      <c r="R30" s="16">
        <f t="shared" si="61"/>
        <v>379700</v>
      </c>
      <c r="S30" s="15">
        <f t="shared" si="62"/>
        <v>578.84891845044717</v>
      </c>
      <c r="T30" s="16"/>
      <c r="U30" s="16">
        <f t="shared" si="63"/>
        <v>0</v>
      </c>
      <c r="V30" s="16">
        <f t="shared" si="64"/>
        <v>379700</v>
      </c>
      <c r="W30" s="16">
        <f t="shared" si="65"/>
        <v>578.84891845044717</v>
      </c>
      <c r="X30" s="16"/>
      <c r="Y30" s="16">
        <f t="shared" si="66"/>
        <v>0</v>
      </c>
      <c r="Z30" s="16">
        <f t="shared" si="67"/>
        <v>379700</v>
      </c>
      <c r="AA30" s="16">
        <f t="shared" si="68"/>
        <v>578.84891845044717</v>
      </c>
      <c r="AB30" s="16">
        <f t="shared" si="69"/>
        <v>-51721.5</v>
      </c>
      <c r="AC30" s="16">
        <f t="shared" ref="AC30" si="72">+AB30/655.957</f>
        <v>-78.848918450447215</v>
      </c>
      <c r="AD30" s="43">
        <f t="shared" si="71"/>
        <v>1.1576978369008943</v>
      </c>
    </row>
    <row r="31" spans="1:30" ht="15" customHeight="1">
      <c r="A31" s="62" t="s">
        <v>53</v>
      </c>
      <c r="B31" s="15" t="s">
        <v>30</v>
      </c>
      <c r="C31" s="52">
        <v>21</v>
      </c>
      <c r="D31" s="52">
        <v>200</v>
      </c>
      <c r="E31" s="16">
        <f>C31*D31</f>
        <v>4200</v>
      </c>
      <c r="F31" s="16">
        <f>+E31*655.957</f>
        <v>2755019.4</v>
      </c>
      <c r="G31" s="16"/>
      <c r="H31" s="15" t="s">
        <v>30</v>
      </c>
      <c r="I31" s="52">
        <v>62</v>
      </c>
      <c r="J31" s="52">
        <f>131191.482/2</f>
        <v>65595.740999999995</v>
      </c>
      <c r="K31" s="52">
        <f t="shared" si="58"/>
        <v>100.00006250409706</v>
      </c>
      <c r="L31" s="16">
        <f>+(65596*26)+(J31*48)</f>
        <v>4854091.568</v>
      </c>
      <c r="M31" s="16">
        <f t="shared" ref="M31:M33" si="73">+L31/655.957</f>
        <v>7400.0148912200038</v>
      </c>
      <c r="N31" s="16"/>
      <c r="O31" s="16">
        <f t="shared" si="59"/>
        <v>0</v>
      </c>
      <c r="P31" s="16">
        <v>787146</v>
      </c>
      <c r="Q31" s="16">
        <f t="shared" si="60"/>
        <v>1199.9963412235863</v>
      </c>
      <c r="R31" s="16">
        <f t="shared" si="61"/>
        <v>787146</v>
      </c>
      <c r="S31" s="15">
        <f t="shared" si="62"/>
        <v>1199.9963412235863</v>
      </c>
      <c r="T31" s="16">
        <v>787148</v>
      </c>
      <c r="U31" s="16">
        <f t="shared" si="63"/>
        <v>1199.9993902039312</v>
      </c>
      <c r="V31" s="16">
        <f t="shared" si="64"/>
        <v>1574294</v>
      </c>
      <c r="W31" s="16">
        <f t="shared" si="65"/>
        <v>2399.9957314275175</v>
      </c>
      <c r="X31" s="16">
        <v>787148</v>
      </c>
      <c r="Y31" s="16">
        <f t="shared" si="66"/>
        <v>1199.9993902039312</v>
      </c>
      <c r="Z31" s="16">
        <f t="shared" si="67"/>
        <v>2361442</v>
      </c>
      <c r="AA31" s="16">
        <f t="shared" si="68"/>
        <v>3599.9951216314485</v>
      </c>
      <c r="AB31" s="16">
        <f t="shared" si="69"/>
        <v>2492649.568</v>
      </c>
      <c r="AC31" s="16">
        <f t="shared" ref="AC31" si="74">+AB31/655.957</f>
        <v>3800.0197695885554</v>
      </c>
      <c r="AD31" s="43">
        <f t="shared" si="71"/>
        <v>0.48648484828088434</v>
      </c>
    </row>
    <row r="32" spans="1:30" ht="15" customHeight="1">
      <c r="A32" s="62" t="s">
        <v>54</v>
      </c>
      <c r="B32" s="15" t="s">
        <v>30</v>
      </c>
      <c r="C32" s="52">
        <v>21</v>
      </c>
      <c r="D32" s="52">
        <v>500</v>
      </c>
      <c r="E32" s="16">
        <f>C32*D32</f>
        <v>10500</v>
      </c>
      <c r="F32" s="16">
        <f>+E32*655.957</f>
        <v>6887548.5</v>
      </c>
      <c r="G32" s="16"/>
      <c r="H32" s="15" t="s">
        <v>30</v>
      </c>
      <c r="I32" s="52">
        <v>62</v>
      </c>
      <c r="J32" s="52">
        <f>327978.5164/2</f>
        <v>163989.25820000001</v>
      </c>
      <c r="K32" s="52">
        <f t="shared" si="58"/>
        <v>250.00001250081942</v>
      </c>
      <c r="L32" s="16">
        <f>+(163989*26)+(J32*48)</f>
        <v>12135198.3936</v>
      </c>
      <c r="M32" s="16">
        <f t="shared" si="73"/>
        <v>18499.99069085321</v>
      </c>
      <c r="N32" s="16">
        <v>2296000</v>
      </c>
      <c r="O32" s="16">
        <f t="shared" si="59"/>
        <v>3500.2294357709425</v>
      </c>
      <c r="P32" s="16">
        <v>1967874</v>
      </c>
      <c r="Q32" s="16">
        <f t="shared" si="60"/>
        <v>3000.0045734705172</v>
      </c>
      <c r="R32" s="16">
        <f t="shared" si="61"/>
        <v>4263874</v>
      </c>
      <c r="S32" s="15">
        <f t="shared" si="62"/>
        <v>6500.2340092414597</v>
      </c>
      <c r="T32" s="16">
        <v>1967872</v>
      </c>
      <c r="U32" s="16">
        <f t="shared" si="63"/>
        <v>3000.0015244901724</v>
      </c>
      <c r="V32" s="16">
        <f t="shared" si="64"/>
        <v>6231746</v>
      </c>
      <c r="W32" s="16">
        <f t="shared" si="65"/>
        <v>9500.2355337316312</v>
      </c>
      <c r="X32" s="16">
        <v>1967872</v>
      </c>
      <c r="Y32" s="16">
        <f t="shared" si="66"/>
        <v>3000.0015244901724</v>
      </c>
      <c r="Z32" s="16">
        <f t="shared" si="67"/>
        <v>8199618</v>
      </c>
      <c r="AA32" s="16">
        <f t="shared" si="68"/>
        <v>12500.237058221805</v>
      </c>
      <c r="AB32" s="16">
        <f t="shared" si="69"/>
        <v>3935580.3936000001</v>
      </c>
      <c r="AC32" s="16">
        <f t="shared" ref="AC32" si="75">+AB32/655.957</f>
        <v>5999.7536326314075</v>
      </c>
      <c r="AD32" s="43">
        <f t="shared" si="71"/>
        <v>0.67568882963828658</v>
      </c>
    </row>
    <row r="33" spans="1:30" ht="15" customHeight="1">
      <c r="A33" s="62" t="s">
        <v>55</v>
      </c>
      <c r="B33" s="15" t="s">
        <v>30</v>
      </c>
      <c r="C33" s="52">
        <v>21</v>
      </c>
      <c r="D33" s="52">
        <v>250</v>
      </c>
      <c r="E33" s="16">
        <f>C33*D33</f>
        <v>5250</v>
      </c>
      <c r="F33" s="16">
        <f>+E33*655.957</f>
        <v>3443774.25</v>
      </c>
      <c r="G33" s="16"/>
      <c r="H33" s="15" t="s">
        <v>30</v>
      </c>
      <c r="I33" s="52">
        <v>62</v>
      </c>
      <c r="J33" s="52">
        <f>163989.25/2</f>
        <v>81994.625</v>
      </c>
      <c r="K33" s="52">
        <f t="shared" si="58"/>
        <v>125</v>
      </c>
      <c r="L33" s="16">
        <f>+(81995*26)+(J33*48)</f>
        <v>6067612</v>
      </c>
      <c r="M33" s="16">
        <f t="shared" si="73"/>
        <v>9250.0148637791808</v>
      </c>
      <c r="N33" s="16">
        <v>1148000</v>
      </c>
      <c r="O33" s="16">
        <f t="shared" si="59"/>
        <v>1750.1147178854712</v>
      </c>
      <c r="P33" s="16">
        <v>983934</v>
      </c>
      <c r="Q33" s="16">
        <f t="shared" si="60"/>
        <v>1499.9977132647414</v>
      </c>
      <c r="R33" s="16">
        <f t="shared" si="61"/>
        <v>2131934</v>
      </c>
      <c r="S33" s="15">
        <f t="shared" si="62"/>
        <v>3250.1124311502126</v>
      </c>
      <c r="T33" s="16">
        <v>983936</v>
      </c>
      <c r="U33" s="16">
        <f t="shared" si="63"/>
        <v>1500.0007622450862</v>
      </c>
      <c r="V33" s="16">
        <f t="shared" si="64"/>
        <v>3115870</v>
      </c>
      <c r="W33" s="16">
        <f t="shared" si="65"/>
        <v>4750.1131933952993</v>
      </c>
      <c r="X33" s="16">
        <v>983936</v>
      </c>
      <c r="Y33" s="16">
        <f t="shared" si="66"/>
        <v>1500.0007622450862</v>
      </c>
      <c r="Z33" s="16">
        <f t="shared" si="67"/>
        <v>4099806</v>
      </c>
      <c r="AA33" s="16">
        <f t="shared" si="68"/>
        <v>6250.113955640385</v>
      </c>
      <c r="AB33" s="16">
        <f t="shared" si="69"/>
        <v>1967806</v>
      </c>
      <c r="AC33" s="16">
        <f t="shared" ref="AC33" si="76">+AB33/655.957</f>
        <v>2999.9009081387958</v>
      </c>
      <c r="AD33" s="43">
        <f t="shared" si="71"/>
        <v>0.67568690944641818</v>
      </c>
    </row>
    <row r="34" spans="1:30" ht="15" customHeight="1">
      <c r="A34" s="62" t="s">
        <v>56</v>
      </c>
      <c r="B34" s="15" t="s">
        <v>30</v>
      </c>
      <c r="C34" s="52"/>
      <c r="D34" s="52"/>
      <c r="E34" s="16"/>
      <c r="F34" s="16"/>
      <c r="G34" s="16"/>
      <c r="H34" s="15" t="s">
        <v>30</v>
      </c>
      <c r="I34" s="52">
        <v>36</v>
      </c>
      <c r="J34" s="52">
        <v>100000</v>
      </c>
      <c r="K34" s="52">
        <f t="shared" si="58"/>
        <v>152.44901723741037</v>
      </c>
      <c r="L34" s="16">
        <f>I34*J34</f>
        <v>3600000</v>
      </c>
      <c r="M34" s="16">
        <f t="shared" ref="M34" si="77">+L34/655.957</f>
        <v>5488.1646205467741</v>
      </c>
      <c r="N34" s="16"/>
      <c r="O34" s="16">
        <f t="shared" si="59"/>
        <v>0</v>
      </c>
      <c r="P34" s="16"/>
      <c r="Q34" s="16">
        <f t="shared" si="60"/>
        <v>0</v>
      </c>
      <c r="R34" s="16">
        <f t="shared" si="61"/>
        <v>0</v>
      </c>
      <c r="S34" s="15">
        <f t="shared" si="62"/>
        <v>0</v>
      </c>
      <c r="T34" s="16">
        <v>1200000</v>
      </c>
      <c r="U34" s="16">
        <f t="shared" si="63"/>
        <v>1829.3882068489245</v>
      </c>
      <c r="V34" s="16">
        <f t="shared" si="64"/>
        <v>1200000</v>
      </c>
      <c r="W34" s="16">
        <f t="shared" si="65"/>
        <v>1829.3882068489245</v>
      </c>
      <c r="X34" s="16">
        <v>1200000</v>
      </c>
      <c r="Y34" s="16">
        <f t="shared" si="66"/>
        <v>1829.3882068489245</v>
      </c>
      <c r="Z34" s="16">
        <f t="shared" si="67"/>
        <v>2400000</v>
      </c>
      <c r="AA34" s="16">
        <f t="shared" si="68"/>
        <v>3658.776413697849</v>
      </c>
      <c r="AB34" s="16">
        <f t="shared" si="69"/>
        <v>1200000</v>
      </c>
      <c r="AC34" s="16">
        <f t="shared" ref="AC34" si="78">+AB34/655.957</f>
        <v>1829.3882068489245</v>
      </c>
      <c r="AD34" s="43">
        <f t="shared" si="71"/>
        <v>0.66666666666666663</v>
      </c>
    </row>
    <row r="35" spans="1:30" ht="15" customHeight="1">
      <c r="A35" s="63" t="s">
        <v>57</v>
      </c>
      <c r="B35" s="51"/>
      <c r="C35" s="51"/>
      <c r="D35" s="51"/>
      <c r="E35" s="18">
        <f>SUM(E29:E34)</f>
        <v>23750</v>
      </c>
      <c r="F35" s="18">
        <f>E35*655.957</f>
        <v>15578978.75</v>
      </c>
      <c r="G35" s="19">
        <f>F35/$F$159</f>
        <v>2.1766402741418132E-2</v>
      </c>
      <c r="H35" s="51"/>
      <c r="I35" s="51"/>
      <c r="J35" s="51"/>
      <c r="K35" s="17"/>
      <c r="L35" s="18">
        <f>SUM(L29:L34)</f>
        <v>29871091.261599999</v>
      </c>
      <c r="M35" s="18">
        <f>SUM(M29:M34)</f>
        <v>45538.185066399172</v>
      </c>
      <c r="N35" s="18">
        <f>SUM(N29:N34)</f>
        <v>6709900</v>
      </c>
      <c r="O35" s="18">
        <f t="shared" ref="O35:U35" si="79">SUM(O29:O34)</f>
        <v>10229.176607612999</v>
      </c>
      <c r="P35" s="18">
        <f t="shared" si="79"/>
        <v>3738954</v>
      </c>
      <c r="Q35" s="18">
        <f t="shared" si="79"/>
        <v>5699.9986279588447</v>
      </c>
      <c r="R35" s="18">
        <f t="shared" si="79"/>
        <v>10448854</v>
      </c>
      <c r="S35" s="18">
        <f t="shared" si="79"/>
        <v>15929.175235571845</v>
      </c>
      <c r="T35" s="18">
        <f>SUM(T29:T34)</f>
        <v>4938956</v>
      </c>
      <c r="U35" s="18">
        <f t="shared" si="79"/>
        <v>7529.3898837881143</v>
      </c>
      <c r="V35" s="18">
        <f>SUM(V29:V34)</f>
        <v>15387810</v>
      </c>
      <c r="W35" s="18">
        <f>SUM(W29:W34)</f>
        <v>23458.565119359962</v>
      </c>
      <c r="X35" s="18">
        <f>SUM(X29:X34)</f>
        <v>4938956</v>
      </c>
      <c r="Y35" s="18">
        <f t="shared" ref="Y35" si="80">SUM(Y29:Y34)</f>
        <v>7529.3898837881143</v>
      </c>
      <c r="Z35" s="18">
        <f>SUM(Z29:Z34)</f>
        <v>20326766</v>
      </c>
      <c r="AA35" s="18">
        <f>SUM(AA29:AA34)</f>
        <v>30987.955003148072</v>
      </c>
      <c r="AB35" s="18">
        <f>SUM(AB29:AB34)</f>
        <v>9544325.2615999989</v>
      </c>
      <c r="AC35" s="18">
        <f>SUM(AC29:AC34)</f>
        <v>14550.230063251096</v>
      </c>
      <c r="AD35" s="47"/>
    </row>
    <row r="36" spans="1:30" ht="15" customHeight="1">
      <c r="A36" s="61" t="s">
        <v>23</v>
      </c>
      <c r="B36" s="15"/>
      <c r="C36" s="52"/>
      <c r="D36" s="52"/>
      <c r="E36" s="16"/>
      <c r="F36" s="16"/>
      <c r="G36" s="16"/>
      <c r="H36" s="15"/>
      <c r="I36" s="52"/>
      <c r="J36" s="52"/>
      <c r="K36" s="52"/>
      <c r="L36" s="16"/>
      <c r="M36" s="16"/>
      <c r="N36" s="16"/>
      <c r="O36" s="16"/>
      <c r="P36" s="16"/>
      <c r="Q36" s="16"/>
      <c r="R36" s="16"/>
      <c r="S36" s="15"/>
      <c r="T36" s="16"/>
      <c r="U36" s="16"/>
      <c r="V36" s="16"/>
      <c r="W36" s="16"/>
      <c r="X36" s="16"/>
      <c r="Y36" s="16"/>
      <c r="Z36" s="16"/>
      <c r="AA36" s="16"/>
      <c r="AB36" s="16"/>
      <c r="AC36" s="16"/>
      <c r="AD36" s="43"/>
    </row>
    <row r="37" spans="1:30" ht="15" customHeight="1">
      <c r="A37" s="62" t="s">
        <v>58</v>
      </c>
      <c r="B37" s="15" t="s">
        <v>50</v>
      </c>
      <c r="C37" s="52">
        <v>3</v>
      </c>
      <c r="D37" s="52">
        <v>1100</v>
      </c>
      <c r="E37" s="16">
        <f>C37*D37</f>
        <v>3300</v>
      </c>
      <c r="F37" s="16">
        <f t="shared" ref="F37:F38" si="81">+E37*655.957</f>
        <v>2164658.1</v>
      </c>
      <c r="G37" s="16"/>
      <c r="H37" s="15" t="s">
        <v>50</v>
      </c>
      <c r="I37" s="52">
        <v>2</v>
      </c>
      <c r="J37" s="52">
        <v>721552.7</v>
      </c>
      <c r="K37" s="52">
        <f t="shared" ref="K37:K42" si="82">J37/$B$2</f>
        <v>1100</v>
      </c>
      <c r="L37" s="16">
        <f t="shared" ref="L37:L41" si="83">I37*J37</f>
        <v>1443105.4</v>
      </c>
      <c r="M37" s="16">
        <f>+L37/655.957</f>
        <v>2200</v>
      </c>
      <c r="N37" s="16">
        <v>1439826</v>
      </c>
      <c r="O37" s="16">
        <f t="shared" ref="O37:O42" si="84">+N37/655.957</f>
        <v>2195.0005869287165</v>
      </c>
      <c r="P37" s="16"/>
      <c r="Q37" s="16">
        <f t="shared" ref="Q37:Q42" si="85">+P37/655.957</f>
        <v>0</v>
      </c>
      <c r="R37" s="16">
        <f t="shared" ref="R37:R42" si="86">N37+P37</f>
        <v>1439826</v>
      </c>
      <c r="S37" s="15">
        <f t="shared" ref="S37:S42" si="87">+R37/655.957</f>
        <v>2195.0005869287165</v>
      </c>
      <c r="T37" s="27"/>
      <c r="U37" s="16">
        <f t="shared" ref="U37:U42" si="88">+T37/655.957</f>
        <v>0</v>
      </c>
      <c r="V37" s="16">
        <f t="shared" ref="V37:V42" si="89">+R37+T37</f>
        <v>1439826</v>
      </c>
      <c r="W37" s="16">
        <f t="shared" ref="W37:W42" si="90">+V37/655.957</f>
        <v>2195.0005869287165</v>
      </c>
      <c r="X37" s="16"/>
      <c r="Y37" s="16">
        <f>+X37/655.957</f>
        <v>0</v>
      </c>
      <c r="Z37" s="16">
        <f t="shared" ref="Z37:Z42" si="91">+V37+X37</f>
        <v>1439826</v>
      </c>
      <c r="AA37" s="16">
        <f t="shared" ref="AA37:AA42" si="92">+Z37/655.957</f>
        <v>2195.0005869287165</v>
      </c>
      <c r="AB37" s="16">
        <f t="shared" ref="AB37:AB42" si="93">+L37-Z37</f>
        <v>3279.3999999999069</v>
      </c>
      <c r="AC37" s="16">
        <f t="shared" ref="AC37" si="94">+AB37/655.957</f>
        <v>4.9994130712834943</v>
      </c>
      <c r="AD37" s="43">
        <f t="shared" ref="AD37:AD42" si="95">+Z37/L37</f>
        <v>0.99772753951305293</v>
      </c>
    </row>
    <row r="38" spans="1:30" ht="15" customHeight="1">
      <c r="A38" s="62" t="s">
        <v>59</v>
      </c>
      <c r="B38" s="15" t="s">
        <v>52</v>
      </c>
      <c r="C38" s="52">
        <v>1</v>
      </c>
      <c r="D38" s="52">
        <v>500</v>
      </c>
      <c r="E38" s="16">
        <f>C38*D38</f>
        <v>500</v>
      </c>
      <c r="F38" s="16">
        <f t="shared" si="81"/>
        <v>327978.5</v>
      </c>
      <c r="G38" s="16"/>
      <c r="H38" s="15" t="s">
        <v>52</v>
      </c>
      <c r="I38" s="52">
        <v>1</v>
      </c>
      <c r="J38" s="52">
        <v>327978.5</v>
      </c>
      <c r="K38" s="52">
        <f t="shared" si="82"/>
        <v>500</v>
      </c>
      <c r="L38" s="16">
        <f t="shared" si="83"/>
        <v>327978.5</v>
      </c>
      <c r="M38" s="16">
        <f>+L38/655.957</f>
        <v>500</v>
      </c>
      <c r="N38" s="16">
        <v>360120</v>
      </c>
      <c r="O38" s="16">
        <f t="shared" si="84"/>
        <v>548.99940087536231</v>
      </c>
      <c r="P38" s="16"/>
      <c r="Q38" s="16">
        <f t="shared" si="85"/>
        <v>0</v>
      </c>
      <c r="R38" s="16">
        <f t="shared" si="86"/>
        <v>360120</v>
      </c>
      <c r="S38" s="15">
        <f t="shared" si="87"/>
        <v>548.99940087536231</v>
      </c>
      <c r="T38" s="27"/>
      <c r="U38" s="16">
        <f t="shared" si="88"/>
        <v>0</v>
      </c>
      <c r="V38" s="16">
        <f t="shared" si="89"/>
        <v>360120</v>
      </c>
      <c r="W38" s="16">
        <f t="shared" si="90"/>
        <v>548.99940087536231</v>
      </c>
      <c r="X38" s="16"/>
      <c r="Y38" s="16">
        <f t="shared" ref="Y38:Y42" si="96">+X38/655.957</f>
        <v>0</v>
      </c>
      <c r="Z38" s="16">
        <f t="shared" si="91"/>
        <v>360120</v>
      </c>
      <c r="AA38" s="16">
        <f t="shared" si="92"/>
        <v>548.99940087536231</v>
      </c>
      <c r="AB38" s="16">
        <f t="shared" si="93"/>
        <v>-32141.5</v>
      </c>
      <c r="AC38" s="16">
        <f t="shared" ref="AC38" si="97">+AB38/655.957</f>
        <v>-48.999400875362255</v>
      </c>
      <c r="AD38" s="43">
        <f t="shared" si="95"/>
        <v>1.0979988017507245</v>
      </c>
    </row>
    <row r="39" spans="1:30" ht="15" customHeight="1">
      <c r="A39" s="62" t="s">
        <v>60</v>
      </c>
      <c r="B39" s="15" t="s">
        <v>30</v>
      </c>
      <c r="C39" s="52">
        <v>21</v>
      </c>
      <c r="D39" s="52">
        <v>200</v>
      </c>
      <c r="E39" s="16">
        <f>C39*D39</f>
        <v>4200</v>
      </c>
      <c r="F39" s="16">
        <f>+E39*655.957</f>
        <v>2755019.4</v>
      </c>
      <c r="G39" s="16"/>
      <c r="H39" s="15" t="s">
        <v>30</v>
      </c>
      <c r="I39" s="52">
        <v>62</v>
      </c>
      <c r="J39" s="52">
        <f>131191.482/2</f>
        <v>65595.740999999995</v>
      </c>
      <c r="K39" s="52">
        <f t="shared" si="82"/>
        <v>100.00006250409706</v>
      </c>
      <c r="L39" s="16">
        <f t="shared" si="83"/>
        <v>4066935.9419999998</v>
      </c>
      <c r="M39" s="16">
        <f t="shared" ref="M39:M42" si="98">+L39/655.957</f>
        <v>6200.0038752540177</v>
      </c>
      <c r="N39" s="16">
        <v>311580</v>
      </c>
      <c r="O39" s="16">
        <f t="shared" si="84"/>
        <v>475.00064790832329</v>
      </c>
      <c r="P39" s="16">
        <v>600268</v>
      </c>
      <c r="Q39" s="16">
        <f t="shared" si="85"/>
        <v>915.10266679065853</v>
      </c>
      <c r="R39" s="16">
        <f t="shared" si="86"/>
        <v>911848</v>
      </c>
      <c r="S39" s="15">
        <f t="shared" si="87"/>
        <v>1390.1033146989819</v>
      </c>
      <c r="T39" s="55"/>
      <c r="U39" s="16">
        <f t="shared" si="88"/>
        <v>0</v>
      </c>
      <c r="V39" s="16">
        <f t="shared" si="89"/>
        <v>911848</v>
      </c>
      <c r="W39" s="16">
        <f t="shared" si="90"/>
        <v>1390.1033146989819</v>
      </c>
      <c r="X39" s="27">
        <v>730902.06</v>
      </c>
      <c r="Y39" s="16">
        <f t="shared" si="96"/>
        <v>1114.2530074379877</v>
      </c>
      <c r="Z39" s="16">
        <f t="shared" si="91"/>
        <v>1642750.06</v>
      </c>
      <c r="AA39" s="16">
        <f t="shared" si="92"/>
        <v>2504.3563221369695</v>
      </c>
      <c r="AB39" s="16">
        <f t="shared" si="93"/>
        <v>2424185.8819999998</v>
      </c>
      <c r="AC39" s="16">
        <f t="shared" ref="AC39" si="99">+AB39/655.957</f>
        <v>3695.6475531170486</v>
      </c>
      <c r="AD39" s="43">
        <f t="shared" si="95"/>
        <v>0.40392818658268409</v>
      </c>
    </row>
    <row r="40" spans="1:30" ht="15" customHeight="1">
      <c r="A40" s="62" t="s">
        <v>61</v>
      </c>
      <c r="B40" s="15" t="s">
        <v>30</v>
      </c>
      <c r="C40" s="52">
        <v>21</v>
      </c>
      <c r="D40" s="52">
        <v>500</v>
      </c>
      <c r="E40" s="16">
        <f>C40*D40</f>
        <v>10500</v>
      </c>
      <c r="F40" s="16">
        <f>+E40*655.957</f>
        <v>6887548.5</v>
      </c>
      <c r="G40" s="16"/>
      <c r="H40" s="15" t="s">
        <v>30</v>
      </c>
      <c r="I40" s="52">
        <v>62</v>
      </c>
      <c r="J40" s="52">
        <f>327978.5164/2</f>
        <v>163989.25820000001</v>
      </c>
      <c r="K40" s="52">
        <f t="shared" si="82"/>
        <v>250.00001250081942</v>
      </c>
      <c r="L40" s="16">
        <f t="shared" si="83"/>
        <v>10167334.008400001</v>
      </c>
      <c r="M40" s="16">
        <f t="shared" si="98"/>
        <v>15500.000775050805</v>
      </c>
      <c r="N40" s="16">
        <v>1829464</v>
      </c>
      <c r="O40" s="16">
        <f t="shared" si="84"/>
        <v>2788.9998887122174</v>
      </c>
      <c r="P40" s="16">
        <v>1647569</v>
      </c>
      <c r="Q40" s="16">
        <f t="shared" si="85"/>
        <v>2511.7027488082299</v>
      </c>
      <c r="R40" s="16">
        <f t="shared" si="86"/>
        <v>3477033</v>
      </c>
      <c r="S40" s="15">
        <f t="shared" si="87"/>
        <v>5300.7026375204468</v>
      </c>
      <c r="T40" s="55">
        <v>4338500</v>
      </c>
      <c r="U40" s="16">
        <f t="shared" si="88"/>
        <v>6614.0006128450495</v>
      </c>
      <c r="V40" s="16">
        <f t="shared" si="89"/>
        <v>7815533</v>
      </c>
      <c r="W40" s="16">
        <f t="shared" si="90"/>
        <v>11914.703250365497</v>
      </c>
      <c r="X40" s="27">
        <v>1703479</v>
      </c>
      <c r="Y40" s="16">
        <f t="shared" si="96"/>
        <v>2596.9369943456659</v>
      </c>
      <c r="Z40" s="16">
        <f t="shared" si="91"/>
        <v>9519012</v>
      </c>
      <c r="AA40" s="16">
        <f t="shared" si="92"/>
        <v>14511.640244711163</v>
      </c>
      <c r="AB40" s="16">
        <f t="shared" si="93"/>
        <v>648322.00840000063</v>
      </c>
      <c r="AC40" s="16">
        <f t="shared" ref="AC40" si="100">+AB40/655.957</f>
        <v>988.36053033964208</v>
      </c>
      <c r="AD40" s="43">
        <f t="shared" si="95"/>
        <v>0.9362348076826853</v>
      </c>
    </row>
    <row r="41" spans="1:30" ht="15" customHeight="1">
      <c r="A41" s="62" t="s">
        <v>62</v>
      </c>
      <c r="B41" s="15" t="s">
        <v>30</v>
      </c>
      <c r="C41" s="52">
        <v>21</v>
      </c>
      <c r="D41" s="52">
        <v>250</v>
      </c>
      <c r="E41" s="16">
        <f>C41*D41</f>
        <v>5250</v>
      </c>
      <c r="F41" s="16">
        <f>+E41*655.957</f>
        <v>3443774.25</v>
      </c>
      <c r="G41" s="16"/>
      <c r="H41" s="15" t="s">
        <v>30</v>
      </c>
      <c r="I41" s="52">
        <v>62</v>
      </c>
      <c r="J41" s="52">
        <f>163989.25/2</f>
        <v>81994.625</v>
      </c>
      <c r="K41" s="52">
        <f t="shared" si="82"/>
        <v>125</v>
      </c>
      <c r="L41" s="16">
        <f t="shared" si="83"/>
        <v>5083666.75</v>
      </c>
      <c r="M41" s="16">
        <f t="shared" si="98"/>
        <v>7750</v>
      </c>
      <c r="N41" s="16">
        <v>849464</v>
      </c>
      <c r="O41" s="16">
        <f t="shared" si="84"/>
        <v>1294.9995197855958</v>
      </c>
      <c r="P41" s="16">
        <v>968524</v>
      </c>
      <c r="Q41" s="16">
        <f t="shared" si="85"/>
        <v>1476.5053197084565</v>
      </c>
      <c r="R41" s="16">
        <f t="shared" si="86"/>
        <v>1817988</v>
      </c>
      <c r="S41" s="15">
        <f t="shared" si="87"/>
        <v>2771.5048394940522</v>
      </c>
      <c r="T41" s="55"/>
      <c r="U41" s="16">
        <f t="shared" si="88"/>
        <v>0</v>
      </c>
      <c r="V41" s="16">
        <f t="shared" si="89"/>
        <v>1817988</v>
      </c>
      <c r="W41" s="16">
        <f t="shared" si="90"/>
        <v>2771.5048394940522</v>
      </c>
      <c r="X41" s="27">
        <v>756920.59</v>
      </c>
      <c r="Y41" s="16">
        <f t="shared" si="96"/>
        <v>1153.9180007226082</v>
      </c>
      <c r="Z41" s="16">
        <f t="shared" si="91"/>
        <v>2574908.59</v>
      </c>
      <c r="AA41" s="16">
        <f t="shared" si="92"/>
        <v>3925.4228402166605</v>
      </c>
      <c r="AB41" s="16">
        <f t="shared" si="93"/>
        <v>2508758.16</v>
      </c>
      <c r="AC41" s="16">
        <f t="shared" ref="AC41" si="101">+AB41/655.957</f>
        <v>3824.5771597833395</v>
      </c>
      <c r="AD41" s="43">
        <f t="shared" si="95"/>
        <v>0.50650617293118194</v>
      </c>
    </row>
    <row r="42" spans="1:30" ht="15" customHeight="1">
      <c r="A42" s="62" t="s">
        <v>63</v>
      </c>
      <c r="B42" s="15" t="s">
        <v>30</v>
      </c>
      <c r="C42" s="52"/>
      <c r="D42" s="52"/>
      <c r="E42" s="16"/>
      <c r="F42" s="16"/>
      <c r="G42" s="16"/>
      <c r="H42" s="15" t="s">
        <v>30</v>
      </c>
      <c r="I42" s="52">
        <v>36</v>
      </c>
      <c r="J42" s="52">
        <v>50000</v>
      </c>
      <c r="K42" s="52">
        <f t="shared" si="82"/>
        <v>76.224508618705187</v>
      </c>
      <c r="L42" s="16">
        <f>I42*J42</f>
        <v>1800000</v>
      </c>
      <c r="M42" s="16">
        <f t="shared" si="98"/>
        <v>2744.0823102733871</v>
      </c>
      <c r="N42" s="16"/>
      <c r="O42" s="16">
        <f t="shared" si="84"/>
        <v>0</v>
      </c>
      <c r="P42" s="16"/>
      <c r="Q42" s="16">
        <f t="shared" si="85"/>
        <v>0</v>
      </c>
      <c r="R42" s="16">
        <f t="shared" si="86"/>
        <v>0</v>
      </c>
      <c r="S42" s="15">
        <f t="shared" si="87"/>
        <v>0</v>
      </c>
      <c r="T42" s="55"/>
      <c r="U42" s="16">
        <f t="shared" si="88"/>
        <v>0</v>
      </c>
      <c r="V42" s="16">
        <f t="shared" si="89"/>
        <v>0</v>
      </c>
      <c r="W42" s="16">
        <f t="shared" si="90"/>
        <v>0</v>
      </c>
      <c r="X42" s="27">
        <v>596842.16</v>
      </c>
      <c r="Y42" s="16">
        <f t="shared" si="96"/>
        <v>909.88000737853247</v>
      </c>
      <c r="Z42" s="16">
        <f t="shared" si="91"/>
        <v>596842.16</v>
      </c>
      <c r="AA42" s="16">
        <f t="shared" si="92"/>
        <v>909.88000737853247</v>
      </c>
      <c r="AB42" s="16">
        <f t="shared" si="93"/>
        <v>1203157.8399999999</v>
      </c>
      <c r="AC42" s="16">
        <f t="shared" ref="AC42" si="102">+AB42/655.957</f>
        <v>1834.2023028948543</v>
      </c>
      <c r="AD42" s="43">
        <f t="shared" si="95"/>
        <v>0.33157897777777778</v>
      </c>
    </row>
    <row r="43" spans="1:30" ht="15" customHeight="1">
      <c r="A43" s="63" t="s">
        <v>42</v>
      </c>
      <c r="B43" s="20"/>
      <c r="C43" s="17"/>
      <c r="D43" s="17"/>
      <c r="E43" s="18">
        <f>SUM(E37:E42)</f>
        <v>23750</v>
      </c>
      <c r="F43" s="18">
        <f>E43*655.957</f>
        <v>15578978.75</v>
      </c>
      <c r="G43" s="19">
        <f>F43/$F$159</f>
        <v>2.1766402741418132E-2</v>
      </c>
      <c r="H43" s="20"/>
      <c r="I43" s="17"/>
      <c r="J43" s="17"/>
      <c r="K43" s="17"/>
      <c r="L43" s="18">
        <f>SUM(L37:L42)</f>
        <v>22889020.600400001</v>
      </c>
      <c r="M43" s="18">
        <f>SUM(M37:M42)</f>
        <v>34894.086960578206</v>
      </c>
      <c r="N43" s="18">
        <f>SUM(N37:N42)</f>
        <v>4790454</v>
      </c>
      <c r="O43" s="18">
        <f t="shared" ref="O43:U43" si="103">SUM(O37:O42)</f>
        <v>7303.0000442102155</v>
      </c>
      <c r="P43" s="18">
        <f t="shared" si="103"/>
        <v>3216361</v>
      </c>
      <c r="Q43" s="18">
        <f t="shared" si="103"/>
        <v>4903.3107353073447</v>
      </c>
      <c r="R43" s="18">
        <f t="shared" si="103"/>
        <v>8006815</v>
      </c>
      <c r="S43" s="18">
        <f t="shared" si="103"/>
        <v>12206.31077951756</v>
      </c>
      <c r="T43" s="18">
        <f t="shared" si="103"/>
        <v>4338500</v>
      </c>
      <c r="U43" s="18">
        <f t="shared" si="103"/>
        <v>6614.0006128450495</v>
      </c>
      <c r="V43" s="18">
        <f t="shared" ref="V43:AC43" si="104">SUM(V37:V42)</f>
        <v>12345315</v>
      </c>
      <c r="W43" s="18">
        <f t="shared" si="104"/>
        <v>18820.311392362612</v>
      </c>
      <c r="X43" s="18">
        <f t="shared" si="104"/>
        <v>3788143.81</v>
      </c>
      <c r="Y43" s="18">
        <f t="shared" si="104"/>
        <v>5774.9880098847943</v>
      </c>
      <c r="Z43" s="18">
        <f t="shared" ref="Z43:AA43" si="105">SUM(Z37:Z42)</f>
        <v>16133458.810000001</v>
      </c>
      <c r="AA43" s="18">
        <f t="shared" si="105"/>
        <v>24595.299402247401</v>
      </c>
      <c r="AB43" s="18">
        <f>SUM(AB37:AB42)</f>
        <v>6755561.7904000003</v>
      </c>
      <c r="AC43" s="18">
        <f t="shared" si="104"/>
        <v>10298.787558330805</v>
      </c>
      <c r="AD43" s="47"/>
    </row>
    <row r="44" spans="1:30" ht="15" customHeight="1" collapsed="1">
      <c r="A44" s="63" t="s">
        <v>64</v>
      </c>
      <c r="B44" s="20"/>
      <c r="C44" s="17"/>
      <c r="D44" s="17"/>
      <c r="E44" s="18">
        <f>E35+E43</f>
        <v>47500</v>
      </c>
      <c r="F44" s="18">
        <f>+E44*655.957</f>
        <v>31157957.5</v>
      </c>
      <c r="G44" s="19">
        <f>F44/$F$159</f>
        <v>4.3532805482836265E-2</v>
      </c>
      <c r="H44" s="51"/>
      <c r="I44" s="17"/>
      <c r="J44" s="17"/>
      <c r="K44" s="17"/>
      <c r="L44" s="18">
        <f>L35+L43</f>
        <v>52760111.862000003</v>
      </c>
      <c r="M44" s="18">
        <f>M35+M43</f>
        <v>80432.272026977385</v>
      </c>
      <c r="N44" s="18">
        <f>N35+N43</f>
        <v>11500354</v>
      </c>
      <c r="O44" s="18">
        <f t="shared" ref="O44:U44" si="106">O35+O43</f>
        <v>17532.176651823214</v>
      </c>
      <c r="P44" s="18">
        <f t="shared" si="106"/>
        <v>6955315</v>
      </c>
      <c r="Q44" s="18">
        <f t="shared" si="106"/>
        <v>10603.309363266189</v>
      </c>
      <c r="R44" s="18">
        <f t="shared" si="106"/>
        <v>18455669</v>
      </c>
      <c r="S44" s="18">
        <f t="shared" si="106"/>
        <v>28135.486015089406</v>
      </c>
      <c r="T44" s="18">
        <f t="shared" si="106"/>
        <v>9277456</v>
      </c>
      <c r="U44" s="18">
        <f t="shared" si="106"/>
        <v>14143.390496633165</v>
      </c>
      <c r="V44" s="18">
        <f t="shared" ref="V44:AC44" si="107">V35+V43</f>
        <v>27733125</v>
      </c>
      <c r="W44" s="18">
        <f t="shared" si="107"/>
        <v>42278.87651172257</v>
      </c>
      <c r="X44" s="18">
        <f t="shared" si="107"/>
        <v>8727099.8100000005</v>
      </c>
      <c r="Y44" s="18">
        <f t="shared" si="107"/>
        <v>13304.377893672909</v>
      </c>
      <c r="Z44" s="18">
        <f t="shared" ref="Z44:AA44" si="108">Z35+Z43</f>
        <v>36460224.810000002</v>
      </c>
      <c r="AA44" s="18">
        <f t="shared" si="108"/>
        <v>55583.254405395477</v>
      </c>
      <c r="AB44" s="18">
        <f>AB35+AB43</f>
        <v>16299887.051999999</v>
      </c>
      <c r="AC44" s="18">
        <f t="shared" si="107"/>
        <v>24849.017621581901</v>
      </c>
      <c r="AD44" s="47"/>
    </row>
    <row r="45" spans="1:30" ht="15" customHeight="1">
      <c r="A45" s="61" t="s">
        <v>65</v>
      </c>
      <c r="B45" s="12" t="s">
        <v>66</v>
      </c>
      <c r="C45" s="3"/>
      <c r="D45" s="3"/>
      <c r="E45" s="13"/>
      <c r="F45" s="16">
        <f t="shared" si="1"/>
        <v>0</v>
      </c>
      <c r="G45" s="16"/>
      <c r="H45" s="12" t="s">
        <v>66</v>
      </c>
      <c r="I45" s="3"/>
      <c r="J45" s="3"/>
      <c r="K45" s="3"/>
      <c r="L45" s="13"/>
      <c r="M45" s="13"/>
      <c r="N45" s="13"/>
      <c r="O45" s="13"/>
      <c r="P45" s="13"/>
      <c r="Q45" s="13"/>
      <c r="R45" s="13"/>
      <c r="S45" s="12" t="s">
        <v>66</v>
      </c>
      <c r="T45" s="13"/>
      <c r="U45" s="13"/>
      <c r="V45" s="13"/>
      <c r="W45" s="13"/>
      <c r="X45" s="13"/>
      <c r="Y45" s="13"/>
      <c r="Z45" s="13"/>
      <c r="AA45" s="13"/>
      <c r="AB45" s="13"/>
      <c r="AC45" s="13"/>
      <c r="AD45" s="46"/>
    </row>
    <row r="46" spans="1:30" ht="15" customHeight="1">
      <c r="A46" s="62" t="s">
        <v>67</v>
      </c>
      <c r="B46" s="15" t="s">
        <v>68</v>
      </c>
      <c r="C46" s="52">
        <v>4</v>
      </c>
      <c r="D46" s="52">
        <v>5000</v>
      </c>
      <c r="E46" s="16">
        <f>C46*D46</f>
        <v>20000</v>
      </c>
      <c r="F46" s="16">
        <f t="shared" si="1"/>
        <v>13119140</v>
      </c>
      <c r="G46" s="16"/>
      <c r="H46" s="15" t="s">
        <v>68</v>
      </c>
      <c r="I46" s="52">
        <v>5</v>
      </c>
      <c r="J46" s="52">
        <v>3279785</v>
      </c>
      <c r="K46" s="52">
        <f>J46/$B$2</f>
        <v>5000</v>
      </c>
      <c r="L46" s="16">
        <f t="shared" ref="L46:L47" si="109">I46*J46</f>
        <v>16398925</v>
      </c>
      <c r="M46" s="16">
        <f>+L46/655.957</f>
        <v>25000</v>
      </c>
      <c r="N46" s="16"/>
      <c r="O46" s="16">
        <f t="shared" ref="O46:O49" si="110">+N46/655.957</f>
        <v>0</v>
      </c>
      <c r="P46" s="16">
        <v>3250000</v>
      </c>
      <c r="Q46" s="16">
        <f t="shared" ref="Q46:Q49" si="111">+P46/655.957</f>
        <v>4954.5930602158378</v>
      </c>
      <c r="R46" s="16">
        <f t="shared" ref="R46:R49" si="112">N46+P46</f>
        <v>3250000</v>
      </c>
      <c r="S46" s="15">
        <f t="shared" ref="S46:S49" si="113">+R46/655.957</f>
        <v>4954.5930602158378</v>
      </c>
      <c r="T46" s="16">
        <v>3835000</v>
      </c>
      <c r="U46" s="16">
        <f t="shared" ref="U46:U49" si="114">+T46/655.957</f>
        <v>5846.4198110546877</v>
      </c>
      <c r="V46" s="16">
        <f>+R46+T46</f>
        <v>7085000</v>
      </c>
      <c r="W46" s="16">
        <f t="shared" ref="W46:W49" si="115">+V46/655.957</f>
        <v>10801.012871270525</v>
      </c>
      <c r="X46" s="16">
        <v>3835000</v>
      </c>
      <c r="Y46" s="16">
        <f t="shared" ref="Y46:Y49" si="116">+X46/655.957</f>
        <v>5846.4198110546877</v>
      </c>
      <c r="Z46" s="16">
        <f t="shared" ref="Z46:Z49" si="117">+V46+X46</f>
        <v>10920000</v>
      </c>
      <c r="AA46" s="16">
        <f t="shared" ref="AA46:AA49" si="118">+Z46/655.957</f>
        <v>16647.432682325212</v>
      </c>
      <c r="AB46" s="16">
        <f t="shared" ref="AB46:AB49" si="119">+L46-Z46</f>
        <v>5478925</v>
      </c>
      <c r="AC46" s="16">
        <f t="shared" ref="AC46" si="120">+AB46/655.957</f>
        <v>8352.567317674786</v>
      </c>
      <c r="AD46" s="43">
        <f t="shared" ref="AD46:AD49" si="121">+Z46/L46</f>
        <v>0.66589730729300856</v>
      </c>
    </row>
    <row r="47" spans="1:30" ht="15" customHeight="1">
      <c r="A47" s="64" t="s">
        <v>69</v>
      </c>
      <c r="B47" s="15" t="s">
        <v>70</v>
      </c>
      <c r="C47" s="52">
        <v>4</v>
      </c>
      <c r="D47" s="52">
        <v>2029</v>
      </c>
      <c r="E47" s="16">
        <f>C47*D47</f>
        <v>8116</v>
      </c>
      <c r="F47" s="16">
        <f t="shared" si="1"/>
        <v>5323747.0120000001</v>
      </c>
      <c r="G47" s="16"/>
      <c r="H47" s="15" t="s">
        <v>70</v>
      </c>
      <c r="I47" s="52">
        <v>5</v>
      </c>
      <c r="J47" s="52">
        <v>1330937</v>
      </c>
      <c r="K47" s="52">
        <f>J47/$B$2</f>
        <v>2029.0003765490726</v>
      </c>
      <c r="L47" s="16">
        <f t="shared" si="109"/>
        <v>6654685</v>
      </c>
      <c r="M47" s="16">
        <f>+L47/655.957</f>
        <v>10145.001882745362</v>
      </c>
      <c r="N47" s="16">
        <v>790628</v>
      </c>
      <c r="O47" s="16">
        <f t="shared" si="110"/>
        <v>1205.3046160037929</v>
      </c>
      <c r="P47" s="16">
        <v>669361</v>
      </c>
      <c r="Q47" s="16">
        <f t="shared" si="111"/>
        <v>1020.4342662705025</v>
      </c>
      <c r="R47" s="16">
        <f t="shared" si="112"/>
        <v>1459989</v>
      </c>
      <c r="S47" s="15">
        <f t="shared" si="113"/>
        <v>2225.7388822742955</v>
      </c>
      <c r="T47" s="16">
        <v>1281031</v>
      </c>
      <c r="U47" s="16">
        <f t="shared" si="114"/>
        <v>1952.9191700065705</v>
      </c>
      <c r="V47" s="16">
        <f>+R47+T47</f>
        <v>2741020</v>
      </c>
      <c r="W47" s="16">
        <f t="shared" si="115"/>
        <v>4178.6580522808663</v>
      </c>
      <c r="X47" s="16">
        <v>932284</v>
      </c>
      <c r="Y47" s="16">
        <f t="shared" si="116"/>
        <v>1421.2577958616189</v>
      </c>
      <c r="Z47" s="16">
        <f t="shared" si="117"/>
        <v>3673304</v>
      </c>
      <c r="AA47" s="16">
        <f t="shared" si="118"/>
        <v>5599.9158481424847</v>
      </c>
      <c r="AB47" s="16">
        <f t="shared" si="119"/>
        <v>2981381</v>
      </c>
      <c r="AC47" s="16">
        <f t="shared" ref="AC47" si="122">+AB47/655.957</f>
        <v>4545.0860346028776</v>
      </c>
      <c r="AD47" s="43">
        <f t="shared" si="121"/>
        <v>0.55198765982161435</v>
      </c>
    </row>
    <row r="48" spans="1:30" ht="15" customHeight="1">
      <c r="A48" s="62" t="s">
        <v>71</v>
      </c>
      <c r="B48" s="15" t="s">
        <v>30</v>
      </c>
      <c r="C48" s="52">
        <v>42</v>
      </c>
      <c r="D48" s="52">
        <v>50</v>
      </c>
      <c r="E48" s="16">
        <f>C48*D48</f>
        <v>2100</v>
      </c>
      <c r="F48" s="16">
        <f t="shared" si="1"/>
        <v>1377509.7</v>
      </c>
      <c r="G48" s="16"/>
      <c r="H48" s="15" t="s">
        <v>30</v>
      </c>
      <c r="I48" s="52">
        <v>62</v>
      </c>
      <c r="J48" s="52">
        <v>32798</v>
      </c>
      <c r="K48" s="52">
        <f>J48/$B$2</f>
        <v>50.000228673525854</v>
      </c>
      <c r="L48" s="16">
        <f>I48*J48</f>
        <v>2033476</v>
      </c>
      <c r="M48" s="16">
        <f t="shared" ref="M48" si="123">+L48/655.957</f>
        <v>3100.0141777586032</v>
      </c>
      <c r="N48" s="16">
        <v>47700</v>
      </c>
      <c r="O48" s="16">
        <f t="shared" si="110"/>
        <v>72.718181222244752</v>
      </c>
      <c r="P48" s="16">
        <v>222900</v>
      </c>
      <c r="Q48" s="16">
        <f t="shared" si="111"/>
        <v>339.80885942218777</v>
      </c>
      <c r="R48" s="16">
        <f t="shared" si="112"/>
        <v>270600</v>
      </c>
      <c r="S48" s="15">
        <f t="shared" si="113"/>
        <v>412.52704064443247</v>
      </c>
      <c r="T48" s="16">
        <v>421800</v>
      </c>
      <c r="U48" s="16">
        <f t="shared" si="114"/>
        <v>643.029954707397</v>
      </c>
      <c r="V48" s="16">
        <f>+R48+T48</f>
        <v>692400</v>
      </c>
      <c r="W48" s="16">
        <f t="shared" si="115"/>
        <v>1055.5569953518295</v>
      </c>
      <c r="X48" s="16">
        <v>357237</v>
      </c>
      <c r="Y48" s="16">
        <f t="shared" si="116"/>
        <v>544.60429570840768</v>
      </c>
      <c r="Z48" s="16">
        <f t="shared" si="117"/>
        <v>1049637</v>
      </c>
      <c r="AA48" s="16">
        <f t="shared" si="118"/>
        <v>1600.1612910602371</v>
      </c>
      <c r="AB48" s="16">
        <f t="shared" si="119"/>
        <v>983839</v>
      </c>
      <c r="AC48" s="16">
        <f t="shared" ref="AC48" si="124">+AB48/655.957</f>
        <v>1499.8528866983659</v>
      </c>
      <c r="AD48" s="43">
        <f t="shared" si="121"/>
        <v>0.51617870090426443</v>
      </c>
    </row>
    <row r="49" spans="1:30" ht="15" customHeight="1">
      <c r="A49" s="62" t="s">
        <v>72</v>
      </c>
      <c r="B49" s="15" t="s">
        <v>70</v>
      </c>
      <c r="C49" s="52">
        <v>4</v>
      </c>
      <c r="D49" s="52">
        <v>2000</v>
      </c>
      <c r="E49" s="16">
        <f>C49*D49</f>
        <v>8000</v>
      </c>
      <c r="F49" s="16">
        <f t="shared" si="1"/>
        <v>5247656</v>
      </c>
      <c r="G49" s="16"/>
      <c r="H49" s="15" t="s">
        <v>73</v>
      </c>
      <c r="I49" s="52">
        <v>0</v>
      </c>
      <c r="J49" s="52">
        <f>2000*B2</f>
        <v>1311914</v>
      </c>
      <c r="K49" s="52">
        <f>J49/$B$2</f>
        <v>2000</v>
      </c>
      <c r="L49" s="16">
        <f t="shared" ref="L49" si="125">I49*J49</f>
        <v>0</v>
      </c>
      <c r="M49" s="16">
        <f>+L49/655.957</f>
        <v>0</v>
      </c>
      <c r="N49" s="16"/>
      <c r="O49" s="16">
        <f t="shared" si="110"/>
        <v>0</v>
      </c>
      <c r="P49" s="16"/>
      <c r="Q49" s="16">
        <f t="shared" si="111"/>
        <v>0</v>
      </c>
      <c r="R49" s="16">
        <f t="shared" si="112"/>
        <v>0</v>
      </c>
      <c r="S49" s="15">
        <f t="shared" si="113"/>
        <v>0</v>
      </c>
      <c r="T49" s="16"/>
      <c r="U49" s="16">
        <f t="shared" si="114"/>
        <v>0</v>
      </c>
      <c r="V49" s="16">
        <f>+R49+T49</f>
        <v>0</v>
      </c>
      <c r="W49" s="16">
        <f t="shared" si="115"/>
        <v>0</v>
      </c>
      <c r="X49" s="16">
        <v>0</v>
      </c>
      <c r="Y49" s="16">
        <f t="shared" si="116"/>
        <v>0</v>
      </c>
      <c r="Z49" s="16">
        <f t="shared" si="117"/>
        <v>0</v>
      </c>
      <c r="AA49" s="16">
        <f t="shared" si="118"/>
        <v>0</v>
      </c>
      <c r="AB49" s="16">
        <f t="shared" si="119"/>
        <v>0</v>
      </c>
      <c r="AC49" s="16">
        <f t="shared" ref="AC49" si="126">+AB49/655.957</f>
        <v>0</v>
      </c>
      <c r="AD49" s="43" t="e">
        <f t="shared" si="121"/>
        <v>#DIV/0!</v>
      </c>
    </row>
    <row r="50" spans="1:30" ht="15" customHeight="1" collapsed="1">
      <c r="A50" s="63" t="s">
        <v>74</v>
      </c>
      <c r="B50" s="51"/>
      <c r="C50" s="17"/>
      <c r="D50" s="17"/>
      <c r="E50" s="18">
        <f>SUM(E46:E49)</f>
        <v>38216</v>
      </c>
      <c r="F50" s="18">
        <f>+E50*655.957</f>
        <v>25068052.712000001</v>
      </c>
      <c r="G50" s="19">
        <f>F50/$F$159</f>
        <v>3.5024204091201494E-2</v>
      </c>
      <c r="H50" s="51"/>
      <c r="I50" s="17"/>
      <c r="J50" s="17"/>
      <c r="K50" s="17"/>
      <c r="L50" s="18">
        <f>SUM(L46:L49)</f>
        <v>25087086</v>
      </c>
      <c r="M50" s="18">
        <f>SUM(M46:M49)</f>
        <v>38245.016060503964</v>
      </c>
      <c r="N50" s="18">
        <f>SUM(N46:N49)</f>
        <v>838328</v>
      </c>
      <c r="O50" s="18">
        <f t="shared" ref="O50:U50" si="127">SUM(O46:O49)</f>
        <v>1278.0227972260377</v>
      </c>
      <c r="P50" s="18">
        <f t="shared" si="127"/>
        <v>4142261</v>
      </c>
      <c r="Q50" s="18">
        <f t="shared" si="127"/>
        <v>6314.836185908528</v>
      </c>
      <c r="R50" s="18">
        <f t="shared" si="127"/>
        <v>4980589</v>
      </c>
      <c r="S50" s="18">
        <f t="shared" si="127"/>
        <v>7592.8589831345653</v>
      </c>
      <c r="T50" s="18">
        <f>SUM(T46:T49)</f>
        <v>5537831</v>
      </c>
      <c r="U50" s="18">
        <f t="shared" si="127"/>
        <v>8442.3689357686544</v>
      </c>
      <c r="V50" s="18">
        <f>SUM(V46:V49)</f>
        <v>10518420</v>
      </c>
      <c r="W50" s="18">
        <f t="shared" ref="W50:AC50" si="128">SUM(W46:W49)</f>
        <v>16035.227918903222</v>
      </c>
      <c r="X50" s="18">
        <f>SUM(X46:X49)</f>
        <v>5124521</v>
      </c>
      <c r="Y50" s="18">
        <f t="shared" ref="Y50" si="129">SUM(Y46:Y49)</f>
        <v>7812.2819026247134</v>
      </c>
      <c r="Z50" s="18">
        <f>SUM(Z46:Z49)</f>
        <v>15642941</v>
      </c>
      <c r="AA50" s="18">
        <f t="shared" si="128"/>
        <v>23847.509821527936</v>
      </c>
      <c r="AB50" s="18">
        <f>SUM(AB46:AB49)</f>
        <v>9444145</v>
      </c>
      <c r="AC50" s="18">
        <f t="shared" si="128"/>
        <v>14397.506238976028</v>
      </c>
      <c r="AD50" s="47"/>
    </row>
    <row r="51" spans="1:30" ht="15" customHeight="1">
      <c r="A51" s="61" t="s">
        <v>75</v>
      </c>
      <c r="B51" s="12"/>
      <c r="C51" s="3"/>
      <c r="D51" s="3"/>
      <c r="E51" s="13"/>
      <c r="F51" s="16">
        <f t="shared" ref="F51" si="130">+E51*655.957</f>
        <v>0</v>
      </c>
      <c r="G51" s="16"/>
      <c r="H51" s="12"/>
      <c r="I51" s="3"/>
      <c r="J51" s="3"/>
      <c r="K51" s="3"/>
      <c r="L51" s="13"/>
      <c r="M51" s="13"/>
      <c r="N51" s="13"/>
      <c r="O51" s="13"/>
      <c r="P51" s="13"/>
      <c r="Q51" s="13"/>
      <c r="R51" s="13"/>
      <c r="S51" s="12"/>
      <c r="T51" s="13"/>
      <c r="U51" s="13"/>
      <c r="V51" s="13"/>
      <c r="W51" s="13"/>
      <c r="X51" s="13"/>
      <c r="Y51" s="13"/>
      <c r="Z51" s="13"/>
      <c r="AA51" s="13"/>
      <c r="AB51" s="13"/>
      <c r="AC51" s="13"/>
      <c r="AD51" s="46"/>
    </row>
    <row r="52" spans="1:30" ht="15" customHeight="1">
      <c r="A52" s="62" t="s">
        <v>76</v>
      </c>
      <c r="B52" s="15"/>
      <c r="C52" s="52"/>
      <c r="D52" s="52"/>
      <c r="E52" s="16"/>
      <c r="F52" s="16"/>
      <c r="G52" s="16"/>
      <c r="H52" s="15" t="s">
        <v>77</v>
      </c>
      <c r="I52" s="52">
        <v>1</v>
      </c>
      <c r="J52" s="52">
        <v>2000000</v>
      </c>
      <c r="K52" s="52">
        <f>J52/$B$2</f>
        <v>3048.9803447482077</v>
      </c>
      <c r="L52" s="16">
        <f>I52*J52</f>
        <v>2000000</v>
      </c>
      <c r="M52" s="16">
        <f t="shared" ref="M52" si="131">+L52/655.957</f>
        <v>3048.9803447482077</v>
      </c>
      <c r="N52" s="16"/>
      <c r="O52" s="16">
        <f>+N52/655.957</f>
        <v>0</v>
      </c>
      <c r="P52" s="16"/>
      <c r="Q52" s="16">
        <f>+P52/655.957</f>
        <v>0</v>
      </c>
      <c r="R52" s="16">
        <f>N52+P52</f>
        <v>0</v>
      </c>
      <c r="S52" s="15">
        <f>+R52/655.957</f>
        <v>0</v>
      </c>
      <c r="T52" s="16">
        <v>1882000</v>
      </c>
      <c r="U52" s="16">
        <f>+T52/655.957</f>
        <v>2869.0905044080632</v>
      </c>
      <c r="V52" s="16">
        <f>+R52+T52</f>
        <v>1882000</v>
      </c>
      <c r="W52" s="16">
        <f>+V52/655.957</f>
        <v>2869.0905044080632</v>
      </c>
      <c r="X52" s="16">
        <v>0</v>
      </c>
      <c r="Y52" s="16">
        <f>+X52/655.957</f>
        <v>0</v>
      </c>
      <c r="Z52" s="16">
        <f>+V52+X52</f>
        <v>1882000</v>
      </c>
      <c r="AA52" s="16">
        <f>+Z52/655.957</f>
        <v>2869.0905044080632</v>
      </c>
      <c r="AB52" s="16">
        <f>+L52-Z52</f>
        <v>118000</v>
      </c>
      <c r="AC52" s="16">
        <f>+AB52/655.957</f>
        <v>179.88984034014425</v>
      </c>
      <c r="AD52" s="43">
        <f t="shared" ref="AD52" si="132">+Z52/L52</f>
        <v>0.94099999999999995</v>
      </c>
    </row>
    <row r="53" spans="1:30" ht="15.6" customHeight="1" collapsed="1">
      <c r="A53" s="63" t="s">
        <v>78</v>
      </c>
      <c r="B53" s="51"/>
      <c r="C53" s="17"/>
      <c r="D53" s="17"/>
      <c r="E53" s="18"/>
      <c r="F53" s="18"/>
      <c r="G53" s="21"/>
      <c r="H53" s="51"/>
      <c r="I53" s="17"/>
      <c r="J53" s="17"/>
      <c r="K53" s="17"/>
      <c r="L53" s="18">
        <f>SUM(L52:L52)</f>
        <v>2000000</v>
      </c>
      <c r="M53" s="18">
        <f>+L53/655.957</f>
        <v>3048.9803447482077</v>
      </c>
      <c r="N53" s="18">
        <f>SUM(N52)</f>
        <v>0</v>
      </c>
      <c r="O53" s="18">
        <f t="shared" ref="O53:S53" si="133">SUM(O52)</f>
        <v>0</v>
      </c>
      <c r="P53" s="18">
        <f t="shared" si="133"/>
        <v>0</v>
      </c>
      <c r="Q53" s="18">
        <f t="shared" si="133"/>
        <v>0</v>
      </c>
      <c r="R53" s="18">
        <f t="shared" si="133"/>
        <v>0</v>
      </c>
      <c r="S53" s="18">
        <f t="shared" si="133"/>
        <v>0</v>
      </c>
      <c r="T53" s="18">
        <f>SUM(T52)</f>
        <v>1882000</v>
      </c>
      <c r="U53" s="18">
        <f t="shared" ref="U53:AC53" si="134">+T53/655.957</f>
        <v>2869.0905044080632</v>
      </c>
      <c r="V53" s="18">
        <f>SUM(V52)</f>
        <v>1882000</v>
      </c>
      <c r="W53" s="18">
        <f t="shared" si="134"/>
        <v>2869.0905044080632</v>
      </c>
      <c r="X53" s="18">
        <f>SUM(X52)</f>
        <v>0</v>
      </c>
      <c r="Y53" s="18">
        <f t="shared" ref="Y53" si="135">+X53/655.957</f>
        <v>0</v>
      </c>
      <c r="Z53" s="18">
        <f>SUM(Z52)</f>
        <v>1882000</v>
      </c>
      <c r="AA53" s="18">
        <f t="shared" ref="AA53" si="136">+Z53/655.957</f>
        <v>2869.0905044080632</v>
      </c>
      <c r="AB53" s="18">
        <f>SUM(AB52)</f>
        <v>118000</v>
      </c>
      <c r="AC53" s="18">
        <f t="shared" si="134"/>
        <v>179.88984034014425</v>
      </c>
      <c r="AD53" s="47"/>
    </row>
    <row r="54" spans="1:30" ht="26.1" customHeight="1">
      <c r="A54" s="65" t="s">
        <v>79</v>
      </c>
      <c r="B54" s="22"/>
      <c r="C54" s="23"/>
      <c r="D54" s="23"/>
      <c r="E54" s="24">
        <f>E22+E26+E44+E50+E53</f>
        <v>403551</v>
      </c>
      <c r="F54" s="24">
        <f>F22+F26+F44+F50+F53</f>
        <v>264712103.30700001</v>
      </c>
      <c r="G54" s="24">
        <f>F54/$F$159</f>
        <v>0.36984646706113805</v>
      </c>
      <c r="H54" s="22"/>
      <c r="I54" s="23"/>
      <c r="J54" s="23"/>
      <c r="K54" s="23"/>
      <c r="L54" s="24">
        <f>L22+L26+L44+L50+L53</f>
        <v>422183744.26199996</v>
      </c>
      <c r="M54" s="24">
        <f>M22+M26+M44+M50+M53</f>
        <v>643614.96906352101</v>
      </c>
      <c r="N54" s="24">
        <f>N22+N26+N44+N50+N53</f>
        <v>69080839.960000008</v>
      </c>
      <c r="O54" s="24">
        <f t="shared" ref="O54:AC54" si="137">O22+O26+O44+O50+O53</f>
        <v>105313.06161836827</v>
      </c>
      <c r="P54" s="24">
        <f t="shared" si="137"/>
        <v>67409191</v>
      </c>
      <c r="Q54" s="24">
        <f t="shared" si="137"/>
        <v>102764.64920718888</v>
      </c>
      <c r="R54" s="24">
        <f t="shared" si="137"/>
        <v>136490030.96000001</v>
      </c>
      <c r="S54" s="24">
        <f t="shared" si="137"/>
        <v>208077.71082555721</v>
      </c>
      <c r="T54" s="24">
        <f t="shared" ref="T54:AB54" si="138">T22+T26+T44+T50+T53</f>
        <v>86011520.5</v>
      </c>
      <c r="U54" s="24">
        <f t="shared" si="138"/>
        <v>131123.71771320378</v>
      </c>
      <c r="V54" s="24">
        <f t="shared" si="138"/>
        <v>222501551.46000001</v>
      </c>
      <c r="W54" s="24">
        <f t="shared" si="138"/>
        <v>339201.42853876093</v>
      </c>
      <c r="X54" s="24">
        <f t="shared" si="138"/>
        <v>81495897.699599996</v>
      </c>
      <c r="Y54" s="24">
        <f t="shared" si="138"/>
        <v>124239.69513184552</v>
      </c>
      <c r="Z54" s="24">
        <f t="shared" si="138"/>
        <v>303997449.15960002</v>
      </c>
      <c r="AA54" s="24">
        <f t="shared" si="138"/>
        <v>463441.12367060647</v>
      </c>
      <c r="AB54" s="24">
        <f t="shared" si="138"/>
        <v>118186295.10239999</v>
      </c>
      <c r="AC54" s="24">
        <f t="shared" si="137"/>
        <v>180173.84539291449</v>
      </c>
      <c r="AD54" s="48"/>
    </row>
    <row r="55" spans="1:30" ht="18.600000000000001" customHeight="1">
      <c r="A55" s="64"/>
      <c r="B55" s="25"/>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49"/>
    </row>
    <row r="56" spans="1:30" ht="27.95" customHeight="1">
      <c r="A56" s="61" t="s">
        <v>80</v>
      </c>
      <c r="B56" s="15"/>
      <c r="C56" s="25"/>
      <c r="D56" s="25"/>
      <c r="E56" s="16"/>
      <c r="F56" s="16">
        <f t="shared" si="1"/>
        <v>0</v>
      </c>
      <c r="G56" s="16"/>
      <c r="H56" s="15"/>
      <c r="I56" s="25"/>
      <c r="J56" s="25"/>
      <c r="K56" s="25"/>
      <c r="L56" s="16"/>
      <c r="M56" s="16"/>
      <c r="N56" s="16"/>
      <c r="O56" s="16"/>
      <c r="P56" s="16"/>
      <c r="Q56" s="16"/>
      <c r="R56" s="16"/>
      <c r="S56" s="15"/>
      <c r="T56" s="16"/>
      <c r="U56" s="16"/>
      <c r="V56" s="16"/>
      <c r="W56" s="16"/>
      <c r="X56" s="16"/>
      <c r="Y56" s="16"/>
      <c r="Z56" s="16"/>
      <c r="AA56" s="16"/>
      <c r="AB56" s="16"/>
      <c r="AC56" s="16"/>
      <c r="AD56" s="43"/>
    </row>
    <row r="57" spans="1:30" ht="27.95" customHeight="1">
      <c r="A57" s="66" t="s">
        <v>81</v>
      </c>
      <c r="B57" s="15" t="s">
        <v>82</v>
      </c>
      <c r="C57" s="52">
        <v>1</v>
      </c>
      <c r="D57" s="16">
        <v>15245</v>
      </c>
      <c r="E57" s="16">
        <f t="shared" ref="E57:E70" si="139">C57*D57</f>
        <v>15245</v>
      </c>
      <c r="F57" s="16">
        <f t="shared" si="1"/>
        <v>10000064.465</v>
      </c>
      <c r="G57" s="16"/>
      <c r="H57" s="15" t="s">
        <v>82</v>
      </c>
      <c r="I57" s="52">
        <v>1</v>
      </c>
      <c r="J57" s="16">
        <v>10000000</v>
      </c>
      <c r="K57" s="52">
        <f>J57/$B$2</f>
        <v>15244.901723741039</v>
      </c>
      <c r="L57" s="16">
        <f>I57*J57</f>
        <v>10000000</v>
      </c>
      <c r="M57" s="16">
        <f>+L57/655.957</f>
        <v>15244.901723741039</v>
      </c>
      <c r="N57" s="16">
        <v>10129038</v>
      </c>
      <c r="O57" s="16">
        <f t="shared" ref="O57:O71" si="140">+N57/655.957</f>
        <v>15441.618886603848</v>
      </c>
      <c r="P57" s="16"/>
      <c r="Q57" s="16">
        <f t="shared" ref="Q57:Q71" si="141">+P57/655.957</f>
        <v>0</v>
      </c>
      <c r="R57" s="16">
        <f t="shared" ref="R57:R70" si="142">N57+P57</f>
        <v>10129038</v>
      </c>
      <c r="S57" s="15">
        <f t="shared" ref="S57:S71" si="143">+R57/655.957</f>
        <v>15441.618886603848</v>
      </c>
      <c r="T57" s="16"/>
      <c r="U57" s="16">
        <f t="shared" ref="U57:U71" si="144">+T57/655.957</f>
        <v>0</v>
      </c>
      <c r="V57" s="16">
        <f t="shared" ref="V57:V71" si="145">+R57+T57</f>
        <v>10129038</v>
      </c>
      <c r="W57" s="16">
        <f t="shared" ref="W57:W71" si="146">+V57/655.957</f>
        <v>15441.618886603848</v>
      </c>
      <c r="X57" s="16"/>
      <c r="Y57" s="16">
        <f t="shared" ref="Y57:Y71" si="147">+X57/655.957</f>
        <v>0</v>
      </c>
      <c r="Z57" s="16">
        <f t="shared" ref="Z57:Z71" si="148">+V57+X57</f>
        <v>10129038</v>
      </c>
      <c r="AA57" s="16">
        <f t="shared" ref="AA57:AA71" si="149">+Z57/655.957</f>
        <v>15441.618886603848</v>
      </c>
      <c r="AB57" s="16">
        <f t="shared" ref="AB57:AB71" si="150">+L57-Z57</f>
        <v>-129038</v>
      </c>
      <c r="AC57" s="16">
        <f t="shared" ref="AC57" si="151">+AB57/655.957</f>
        <v>-196.7171628628096</v>
      </c>
      <c r="AD57" s="43">
        <f t="shared" ref="AD57:AD71" si="152">+Z57/L57</f>
        <v>1.0129037999999999</v>
      </c>
    </row>
    <row r="58" spans="1:30" ht="27.95" customHeight="1">
      <c r="A58" s="66" t="s">
        <v>83</v>
      </c>
      <c r="B58" s="15" t="s">
        <v>82</v>
      </c>
      <c r="C58" s="52">
        <v>1</v>
      </c>
      <c r="D58" s="16">
        <v>3811.2254309352597</v>
      </c>
      <c r="E58" s="16">
        <f t="shared" si="139"/>
        <v>3811.2254309352597</v>
      </c>
      <c r="F58" s="16">
        <f t="shared" si="1"/>
        <v>2500000</v>
      </c>
      <c r="G58" s="16"/>
      <c r="H58" s="15" t="s">
        <v>82</v>
      </c>
      <c r="I58" s="52">
        <v>1</v>
      </c>
      <c r="J58" s="16">
        <f>3811.22543093526*655.957</f>
        <v>2500000.0000000005</v>
      </c>
      <c r="K58" s="52">
        <f>J58/$B$2</f>
        <v>3811.2254309352602</v>
      </c>
      <c r="L58" s="16">
        <f t="shared" ref="L58:L71" si="153">I58*J58</f>
        <v>2500000.0000000005</v>
      </c>
      <c r="M58" s="16">
        <f t="shared" ref="M58:M71" si="154">+L58/655.957</f>
        <v>3811.2254309352602</v>
      </c>
      <c r="N58" s="16">
        <v>1347336</v>
      </c>
      <c r="O58" s="16">
        <f t="shared" si="140"/>
        <v>2054.0004908858355</v>
      </c>
      <c r="P58" s="16"/>
      <c r="Q58" s="16">
        <f t="shared" si="141"/>
        <v>0</v>
      </c>
      <c r="R58" s="16">
        <f t="shared" si="142"/>
        <v>1347336</v>
      </c>
      <c r="S58" s="15">
        <f t="shared" si="143"/>
        <v>2054.0004908858355</v>
      </c>
      <c r="T58" s="16"/>
      <c r="U58" s="16">
        <f t="shared" si="144"/>
        <v>0</v>
      </c>
      <c r="V58" s="16">
        <f t="shared" si="145"/>
        <v>1347336</v>
      </c>
      <c r="W58" s="16">
        <f t="shared" si="146"/>
        <v>2054.0004908858355</v>
      </c>
      <c r="X58" s="16"/>
      <c r="Y58" s="16">
        <f t="shared" si="147"/>
        <v>0</v>
      </c>
      <c r="Z58" s="16">
        <f t="shared" si="148"/>
        <v>1347336</v>
      </c>
      <c r="AA58" s="16">
        <f t="shared" si="149"/>
        <v>2054.0004908858355</v>
      </c>
      <c r="AB58" s="16">
        <f t="shared" si="150"/>
        <v>1152664.0000000005</v>
      </c>
      <c r="AC58" s="16">
        <f t="shared" ref="AC58" si="155">+AB58/655.957</f>
        <v>1757.2249400494247</v>
      </c>
      <c r="AD58" s="43">
        <f t="shared" si="152"/>
        <v>0.53893439999999992</v>
      </c>
    </row>
    <row r="59" spans="1:30" ht="27.95" customHeight="1">
      <c r="A59" s="66" t="s">
        <v>84</v>
      </c>
      <c r="B59" s="15"/>
      <c r="C59" s="52"/>
      <c r="D59" s="16"/>
      <c r="E59" s="16"/>
      <c r="F59" s="16"/>
      <c r="G59" s="16"/>
      <c r="H59" s="15" t="s">
        <v>82</v>
      </c>
      <c r="I59" s="52">
        <v>1</v>
      </c>
      <c r="J59" s="16">
        <v>2500000</v>
      </c>
      <c r="K59" s="52">
        <f>J59/$B$2</f>
        <v>3811.2254309352597</v>
      </c>
      <c r="L59" s="16">
        <f t="shared" ref="L59" si="156">I59*J59</f>
        <v>2500000</v>
      </c>
      <c r="M59" s="16">
        <f t="shared" ref="M59" si="157">+L59/655.957</f>
        <v>3811.2254309352597</v>
      </c>
      <c r="N59" s="16"/>
      <c r="O59" s="16">
        <f t="shared" si="140"/>
        <v>0</v>
      </c>
      <c r="P59" s="16"/>
      <c r="Q59" s="16">
        <f t="shared" si="141"/>
        <v>0</v>
      </c>
      <c r="R59" s="16">
        <f t="shared" si="142"/>
        <v>0</v>
      </c>
      <c r="S59" s="15">
        <f t="shared" si="143"/>
        <v>0</v>
      </c>
      <c r="T59" s="16">
        <v>2500000</v>
      </c>
      <c r="U59" s="16">
        <f t="shared" si="144"/>
        <v>3811.2254309352597</v>
      </c>
      <c r="V59" s="16">
        <f t="shared" si="145"/>
        <v>2500000</v>
      </c>
      <c r="W59" s="16">
        <f t="shared" si="146"/>
        <v>3811.2254309352597</v>
      </c>
      <c r="X59" s="16"/>
      <c r="Y59" s="16">
        <f t="shared" si="147"/>
        <v>0</v>
      </c>
      <c r="Z59" s="16">
        <f t="shared" si="148"/>
        <v>2500000</v>
      </c>
      <c r="AA59" s="16">
        <f t="shared" si="149"/>
        <v>3811.2254309352597</v>
      </c>
      <c r="AB59" s="16">
        <f t="shared" si="150"/>
        <v>0</v>
      </c>
      <c r="AC59" s="16">
        <f t="shared" ref="AC59" si="158">+AB59/655.957</f>
        <v>0</v>
      </c>
      <c r="AD59" s="43">
        <f t="shared" si="152"/>
        <v>1</v>
      </c>
    </row>
    <row r="60" spans="1:30" ht="27.95" customHeight="1">
      <c r="A60" s="66" t="s">
        <v>85</v>
      </c>
      <c r="B60" s="15" t="s">
        <v>86</v>
      </c>
      <c r="C60" s="52">
        <v>1</v>
      </c>
      <c r="D60" s="16">
        <v>22868</v>
      </c>
      <c r="E60" s="16">
        <f t="shared" si="139"/>
        <v>22868</v>
      </c>
      <c r="F60" s="16">
        <f t="shared" si="1"/>
        <v>15000424.675999999</v>
      </c>
      <c r="G60" s="16"/>
      <c r="H60" s="15" t="s">
        <v>86</v>
      </c>
      <c r="I60" s="52">
        <v>1</v>
      </c>
      <c r="J60" s="16">
        <v>15000000</v>
      </c>
      <c r="K60" s="52">
        <f>J60/$B$2</f>
        <v>22867.352585611556</v>
      </c>
      <c r="L60" s="16">
        <f t="shared" si="153"/>
        <v>15000000</v>
      </c>
      <c r="M60" s="16">
        <f t="shared" si="154"/>
        <v>22867.352585611556</v>
      </c>
      <c r="N60" s="16">
        <v>13677080</v>
      </c>
      <c r="O60" s="16">
        <f t="shared" si="140"/>
        <v>20850.574046774407</v>
      </c>
      <c r="P60" s="16"/>
      <c r="Q60" s="16">
        <f t="shared" si="141"/>
        <v>0</v>
      </c>
      <c r="R60" s="16">
        <f t="shared" si="142"/>
        <v>13677080</v>
      </c>
      <c r="S60" s="15">
        <f t="shared" si="143"/>
        <v>20850.574046774407</v>
      </c>
      <c r="T60" s="16">
        <v>0</v>
      </c>
      <c r="U60" s="16">
        <f t="shared" si="144"/>
        <v>0</v>
      </c>
      <c r="V60" s="16">
        <f t="shared" si="145"/>
        <v>13677080</v>
      </c>
      <c r="W60" s="16">
        <f t="shared" si="146"/>
        <v>20850.574046774407</v>
      </c>
      <c r="X60" s="16"/>
      <c r="Y60" s="16">
        <f t="shared" si="147"/>
        <v>0</v>
      </c>
      <c r="Z60" s="16">
        <f t="shared" si="148"/>
        <v>13677080</v>
      </c>
      <c r="AA60" s="16">
        <f t="shared" si="149"/>
        <v>20850.574046774407</v>
      </c>
      <c r="AB60" s="16">
        <f t="shared" si="150"/>
        <v>1322920</v>
      </c>
      <c r="AC60" s="16">
        <f t="shared" ref="AC60" si="159">+AB60/655.957</f>
        <v>2016.7785388371494</v>
      </c>
      <c r="AD60" s="43">
        <f t="shared" si="152"/>
        <v>0.91180533333333336</v>
      </c>
    </row>
    <row r="61" spans="1:30" s="28" customFormat="1" ht="27.95" customHeight="1">
      <c r="A61" s="67" t="s">
        <v>87</v>
      </c>
      <c r="B61" s="26"/>
      <c r="C61" s="27"/>
      <c r="D61" s="27"/>
      <c r="E61" s="27"/>
      <c r="F61" s="27"/>
      <c r="G61" s="27"/>
      <c r="H61" s="26" t="s">
        <v>88</v>
      </c>
      <c r="I61" s="27">
        <v>1</v>
      </c>
      <c r="J61" s="27">
        <v>5200000</v>
      </c>
      <c r="K61" s="27">
        <f>J61/$B$2</f>
        <v>7927.3488963453401</v>
      </c>
      <c r="L61" s="27">
        <f t="shared" si="153"/>
        <v>5200000</v>
      </c>
      <c r="M61" s="27">
        <f t="shared" si="154"/>
        <v>7927.3488963453401</v>
      </c>
      <c r="N61" s="27"/>
      <c r="O61" s="16">
        <f t="shared" si="140"/>
        <v>0</v>
      </c>
      <c r="P61" s="27"/>
      <c r="Q61" s="16">
        <f t="shared" si="141"/>
        <v>0</v>
      </c>
      <c r="R61" s="16">
        <f t="shared" si="142"/>
        <v>0</v>
      </c>
      <c r="S61" s="15">
        <f t="shared" si="143"/>
        <v>0</v>
      </c>
      <c r="T61" s="27">
        <v>4830461</v>
      </c>
      <c r="U61" s="16">
        <f t="shared" si="144"/>
        <v>7363.990322536386</v>
      </c>
      <c r="V61" s="16">
        <f t="shared" si="145"/>
        <v>4830461</v>
      </c>
      <c r="W61" s="16">
        <f t="shared" si="146"/>
        <v>7363.990322536386</v>
      </c>
      <c r="X61" s="27"/>
      <c r="Y61" s="16">
        <f t="shared" si="147"/>
        <v>0</v>
      </c>
      <c r="Z61" s="16">
        <f t="shared" si="148"/>
        <v>4830461</v>
      </c>
      <c r="AA61" s="16">
        <f t="shared" si="149"/>
        <v>7363.990322536386</v>
      </c>
      <c r="AB61" s="16">
        <f t="shared" si="150"/>
        <v>369539</v>
      </c>
      <c r="AC61" s="16">
        <f t="shared" ref="AC61" si="160">+AB61/655.957</f>
        <v>563.35857380895391</v>
      </c>
      <c r="AD61" s="43">
        <f t="shared" si="152"/>
        <v>0.92893480769230774</v>
      </c>
    </row>
    <row r="62" spans="1:30" ht="27.95" customHeight="1">
      <c r="A62" s="66" t="s">
        <v>89</v>
      </c>
      <c r="B62" s="15" t="s">
        <v>82</v>
      </c>
      <c r="C62" s="52">
        <v>1</v>
      </c>
      <c r="D62" s="16">
        <v>15245</v>
      </c>
      <c r="E62" s="16">
        <f t="shared" si="139"/>
        <v>15245</v>
      </c>
      <c r="F62" s="16">
        <f>+E62*655.957</f>
        <v>10000064.465</v>
      </c>
      <c r="G62" s="16"/>
      <c r="H62" s="15"/>
      <c r="I62" s="52"/>
      <c r="J62" s="16"/>
      <c r="K62" s="52"/>
      <c r="L62" s="16"/>
      <c r="M62" s="16"/>
      <c r="N62" s="16"/>
      <c r="O62" s="16">
        <f t="shared" si="140"/>
        <v>0</v>
      </c>
      <c r="P62" s="16"/>
      <c r="Q62" s="16">
        <f t="shared" si="141"/>
        <v>0</v>
      </c>
      <c r="R62" s="16">
        <f t="shared" si="142"/>
        <v>0</v>
      </c>
      <c r="S62" s="15">
        <f t="shared" si="143"/>
        <v>0</v>
      </c>
      <c r="T62" s="16"/>
      <c r="U62" s="16">
        <f t="shared" si="144"/>
        <v>0</v>
      </c>
      <c r="V62" s="16">
        <f t="shared" si="145"/>
        <v>0</v>
      </c>
      <c r="W62" s="16">
        <f t="shared" si="146"/>
        <v>0</v>
      </c>
      <c r="X62" s="16"/>
      <c r="Y62" s="16">
        <f t="shared" si="147"/>
        <v>0</v>
      </c>
      <c r="Z62" s="16">
        <f t="shared" si="148"/>
        <v>0</v>
      </c>
      <c r="AA62" s="16">
        <f t="shared" si="149"/>
        <v>0</v>
      </c>
      <c r="AB62" s="16">
        <f t="shared" si="150"/>
        <v>0</v>
      </c>
      <c r="AC62" s="16"/>
      <c r="AD62" s="43" t="e">
        <f t="shared" si="152"/>
        <v>#DIV/0!</v>
      </c>
    </row>
    <row r="63" spans="1:30" ht="27.95" customHeight="1">
      <c r="A63" s="66" t="s">
        <v>90</v>
      </c>
      <c r="B63" s="15"/>
      <c r="C63" s="52"/>
      <c r="D63" s="16"/>
      <c r="E63" s="16"/>
      <c r="F63" s="16"/>
      <c r="G63" s="16"/>
      <c r="H63" s="15" t="s">
        <v>82</v>
      </c>
      <c r="I63" s="52">
        <v>4</v>
      </c>
      <c r="J63" s="16">
        <v>1500000</v>
      </c>
      <c r="K63" s="52">
        <f t="shared" ref="K63:K71" si="161">J63/$B$2</f>
        <v>2286.7352585611557</v>
      </c>
      <c r="L63" s="16">
        <f t="shared" si="153"/>
        <v>6000000</v>
      </c>
      <c r="M63" s="16">
        <f t="shared" si="154"/>
        <v>9146.9410342446226</v>
      </c>
      <c r="N63" s="16"/>
      <c r="O63" s="16">
        <f t="shared" si="140"/>
        <v>0</v>
      </c>
      <c r="P63" s="16">
        <v>1500000</v>
      </c>
      <c r="Q63" s="16">
        <f t="shared" si="141"/>
        <v>2286.7352585611557</v>
      </c>
      <c r="R63" s="16">
        <f t="shared" si="142"/>
        <v>1500000</v>
      </c>
      <c r="S63" s="15">
        <f t="shared" si="143"/>
        <v>2286.7352585611557</v>
      </c>
      <c r="T63" s="16">
        <v>773200</v>
      </c>
      <c r="U63" s="16">
        <f t="shared" si="144"/>
        <v>1178.7358012796572</v>
      </c>
      <c r="V63" s="16">
        <f t="shared" si="145"/>
        <v>2273200</v>
      </c>
      <c r="W63" s="16">
        <f t="shared" si="146"/>
        <v>3465.4710598408128</v>
      </c>
      <c r="X63" s="16">
        <v>1250000</v>
      </c>
      <c r="Y63" s="16">
        <f t="shared" si="147"/>
        <v>1905.6127154676299</v>
      </c>
      <c r="Z63" s="16">
        <f t="shared" si="148"/>
        <v>3523200</v>
      </c>
      <c r="AA63" s="16">
        <f t="shared" si="149"/>
        <v>5371.0837753084425</v>
      </c>
      <c r="AB63" s="16">
        <f t="shared" si="150"/>
        <v>2476800</v>
      </c>
      <c r="AC63" s="16">
        <f t="shared" ref="AC63" si="162">+AB63/655.957</f>
        <v>3775.8572589361802</v>
      </c>
      <c r="AD63" s="43">
        <f t="shared" si="152"/>
        <v>0.58720000000000006</v>
      </c>
    </row>
    <row r="64" spans="1:30" ht="27.95" customHeight="1">
      <c r="A64" s="66" t="s">
        <v>91</v>
      </c>
      <c r="B64" s="15"/>
      <c r="C64" s="52"/>
      <c r="D64" s="16"/>
      <c r="E64" s="16"/>
      <c r="F64" s="16"/>
      <c r="G64" s="16"/>
      <c r="H64" s="15" t="s">
        <v>82</v>
      </c>
      <c r="I64" s="52">
        <v>4</v>
      </c>
      <c r="J64" s="16">
        <v>1800000</v>
      </c>
      <c r="K64" s="52">
        <f t="shared" si="161"/>
        <v>2744.0823102733871</v>
      </c>
      <c r="L64" s="16">
        <f t="shared" si="153"/>
        <v>7200000</v>
      </c>
      <c r="M64" s="16">
        <f t="shared" si="154"/>
        <v>10976.329241093548</v>
      </c>
      <c r="N64" s="16"/>
      <c r="O64" s="16">
        <f t="shared" si="140"/>
        <v>0</v>
      </c>
      <c r="P64" s="16">
        <v>1522080</v>
      </c>
      <c r="Q64" s="16">
        <f t="shared" si="141"/>
        <v>2320.396001567176</v>
      </c>
      <c r="R64" s="16">
        <f t="shared" si="142"/>
        <v>1522080</v>
      </c>
      <c r="S64" s="15">
        <f t="shared" si="143"/>
        <v>2320.396001567176</v>
      </c>
      <c r="T64" s="16">
        <v>1068550</v>
      </c>
      <c r="U64" s="16">
        <f t="shared" si="144"/>
        <v>1628.9939736903486</v>
      </c>
      <c r="V64" s="16">
        <f t="shared" si="145"/>
        <v>2590630</v>
      </c>
      <c r="W64" s="16">
        <f t="shared" si="146"/>
        <v>3949.3899752575244</v>
      </c>
      <c r="X64" s="16">
        <v>1459753</v>
      </c>
      <c r="Y64" s="16">
        <f t="shared" si="147"/>
        <v>2225.3791025936152</v>
      </c>
      <c r="Z64" s="16">
        <f t="shared" si="148"/>
        <v>4050383</v>
      </c>
      <c r="AA64" s="16">
        <f t="shared" si="149"/>
        <v>6174.7690778511396</v>
      </c>
      <c r="AB64" s="16">
        <f t="shared" si="150"/>
        <v>3149617</v>
      </c>
      <c r="AC64" s="16">
        <f t="shared" ref="AC64" si="163">+AB64/655.957</f>
        <v>4801.5601632424077</v>
      </c>
      <c r="AD64" s="43">
        <f t="shared" si="152"/>
        <v>0.5625531944444444</v>
      </c>
    </row>
    <row r="65" spans="1:30" ht="27.95" customHeight="1">
      <c r="A65" s="66" t="s">
        <v>92</v>
      </c>
      <c r="B65" s="15"/>
      <c r="C65" s="52"/>
      <c r="D65" s="16"/>
      <c r="E65" s="16"/>
      <c r="F65" s="16"/>
      <c r="G65" s="16"/>
      <c r="H65" s="15" t="s">
        <v>82</v>
      </c>
      <c r="I65" s="52">
        <v>8</v>
      </c>
      <c r="J65" s="16">
        <v>1500000</v>
      </c>
      <c r="K65" s="52">
        <f t="shared" si="161"/>
        <v>2286.7352585611557</v>
      </c>
      <c r="L65" s="16">
        <f t="shared" si="153"/>
        <v>12000000</v>
      </c>
      <c r="M65" s="16">
        <f t="shared" si="154"/>
        <v>18293.882068489245</v>
      </c>
      <c r="N65" s="16"/>
      <c r="O65" s="16">
        <f t="shared" si="140"/>
        <v>0</v>
      </c>
      <c r="P65" s="16">
        <v>1410600</v>
      </c>
      <c r="Q65" s="16">
        <f t="shared" si="141"/>
        <v>2150.4458371509108</v>
      </c>
      <c r="R65" s="16">
        <f t="shared" si="142"/>
        <v>1410600</v>
      </c>
      <c r="S65" s="15">
        <f t="shared" si="143"/>
        <v>2150.4458371509108</v>
      </c>
      <c r="T65" s="16">
        <v>1713360</v>
      </c>
      <c r="U65" s="16">
        <f t="shared" si="144"/>
        <v>2612.0004817388945</v>
      </c>
      <c r="V65" s="16">
        <f t="shared" si="145"/>
        <v>3123960</v>
      </c>
      <c r="W65" s="16">
        <f t="shared" si="146"/>
        <v>4762.4463188898053</v>
      </c>
      <c r="X65" s="16">
        <v>2755800</v>
      </c>
      <c r="Y65" s="16">
        <f t="shared" si="147"/>
        <v>4201.1900170285553</v>
      </c>
      <c r="Z65" s="16">
        <f t="shared" si="148"/>
        <v>5879760</v>
      </c>
      <c r="AA65" s="16">
        <f t="shared" si="149"/>
        <v>8963.6363359183597</v>
      </c>
      <c r="AB65" s="16">
        <f t="shared" si="150"/>
        <v>6120240</v>
      </c>
      <c r="AC65" s="16">
        <f t="shared" ref="AC65" si="164">+AB65/655.957</f>
        <v>9330.2457325708856</v>
      </c>
      <c r="AD65" s="43">
        <f t="shared" si="152"/>
        <v>0.48998000000000003</v>
      </c>
    </row>
    <row r="66" spans="1:30" ht="27.95" customHeight="1">
      <c r="A66" s="66" t="s">
        <v>93</v>
      </c>
      <c r="B66" s="15" t="s">
        <v>94</v>
      </c>
      <c r="C66" s="52">
        <v>8</v>
      </c>
      <c r="D66" s="16">
        <v>3811</v>
      </c>
      <c r="E66" s="16">
        <f t="shared" si="139"/>
        <v>30488</v>
      </c>
      <c r="F66" s="16">
        <f t="shared" si="1"/>
        <v>19998817.015999999</v>
      </c>
      <c r="G66" s="16"/>
      <c r="H66" s="15" t="s">
        <v>94</v>
      </c>
      <c r="I66" s="52">
        <v>10</v>
      </c>
      <c r="J66" s="16">
        <v>2000000</v>
      </c>
      <c r="K66" s="52">
        <f t="shared" si="161"/>
        <v>3048.9803447482077</v>
      </c>
      <c r="L66" s="16">
        <f t="shared" si="153"/>
        <v>20000000</v>
      </c>
      <c r="M66" s="16">
        <f t="shared" si="154"/>
        <v>30489.803447482078</v>
      </c>
      <c r="N66" s="16">
        <v>2333141</v>
      </c>
      <c r="O66" s="16">
        <f t="shared" si="140"/>
        <v>3556.8505252630889</v>
      </c>
      <c r="P66" s="16">
        <v>4357434</v>
      </c>
      <c r="Q66" s="16">
        <f t="shared" si="141"/>
        <v>6642.8653097687802</v>
      </c>
      <c r="R66" s="16">
        <f t="shared" si="142"/>
        <v>6690575</v>
      </c>
      <c r="S66" s="15">
        <f t="shared" si="143"/>
        <v>10199.71583503187</v>
      </c>
      <c r="T66" s="82">
        <v>3468097.1355599998</v>
      </c>
      <c r="U66" s="16">
        <f t="shared" si="144"/>
        <v>5287.08</v>
      </c>
      <c r="V66" s="16">
        <f t="shared" si="145"/>
        <v>10158672.13556</v>
      </c>
      <c r="W66" s="16">
        <f t="shared" si="146"/>
        <v>15486.79583503187</v>
      </c>
      <c r="X66" s="82">
        <f>2900510.6626+1000000</f>
        <v>3900510.6625999999</v>
      </c>
      <c r="Y66" s="16">
        <f t="shared" si="147"/>
        <v>5946.2901723741033</v>
      </c>
      <c r="Z66" s="16">
        <f t="shared" si="148"/>
        <v>14059182.79816</v>
      </c>
      <c r="AA66" s="16">
        <f t="shared" si="149"/>
        <v>21433.086007405975</v>
      </c>
      <c r="AB66" s="16">
        <f t="shared" si="150"/>
        <v>5940817.2018400002</v>
      </c>
      <c r="AC66" s="16">
        <f t="shared" ref="AC66" si="165">+AB66/655.957</f>
        <v>9056.7174400761032</v>
      </c>
      <c r="AD66" s="43">
        <f t="shared" si="152"/>
        <v>0.70295913990799996</v>
      </c>
    </row>
    <row r="67" spans="1:30" ht="27.95" customHeight="1">
      <c r="A67" s="66" t="s">
        <v>95</v>
      </c>
      <c r="B67" s="15" t="s">
        <v>86</v>
      </c>
      <c r="C67" s="52">
        <v>2</v>
      </c>
      <c r="D67" s="16">
        <v>15245</v>
      </c>
      <c r="E67" s="16">
        <f t="shared" si="139"/>
        <v>30490</v>
      </c>
      <c r="F67" s="16">
        <f t="shared" si="1"/>
        <v>20000128.93</v>
      </c>
      <c r="G67" s="16"/>
      <c r="H67" s="15" t="s">
        <v>86</v>
      </c>
      <c r="I67" s="52"/>
      <c r="J67" s="16"/>
      <c r="K67" s="52">
        <f t="shared" si="161"/>
        <v>0</v>
      </c>
      <c r="L67" s="16"/>
      <c r="M67" s="16">
        <f t="shared" si="154"/>
        <v>0</v>
      </c>
      <c r="N67" s="16"/>
      <c r="O67" s="16">
        <f t="shared" si="140"/>
        <v>0</v>
      </c>
      <c r="P67" s="16"/>
      <c r="Q67" s="16">
        <f t="shared" si="141"/>
        <v>0</v>
      </c>
      <c r="R67" s="16">
        <f t="shared" si="142"/>
        <v>0</v>
      </c>
      <c r="S67" s="15">
        <f t="shared" si="143"/>
        <v>0</v>
      </c>
      <c r="T67" s="16"/>
      <c r="U67" s="16">
        <f t="shared" si="144"/>
        <v>0</v>
      </c>
      <c r="V67" s="16">
        <f t="shared" si="145"/>
        <v>0</v>
      </c>
      <c r="W67" s="16">
        <f t="shared" si="146"/>
        <v>0</v>
      </c>
      <c r="X67" s="16"/>
      <c r="Y67" s="16">
        <f t="shared" si="147"/>
        <v>0</v>
      </c>
      <c r="Z67" s="16">
        <f t="shared" si="148"/>
        <v>0</v>
      </c>
      <c r="AA67" s="16">
        <f t="shared" si="149"/>
        <v>0</v>
      </c>
      <c r="AB67" s="16">
        <f t="shared" si="150"/>
        <v>0</v>
      </c>
      <c r="AC67" s="16">
        <f t="shared" ref="AC67" si="166">+AB67/655.957</f>
        <v>0</v>
      </c>
      <c r="AD67" s="43" t="e">
        <f t="shared" si="152"/>
        <v>#DIV/0!</v>
      </c>
    </row>
    <row r="68" spans="1:30" ht="27.95" customHeight="1">
      <c r="A68" s="66" t="s">
        <v>96</v>
      </c>
      <c r="B68" s="15"/>
      <c r="C68" s="52"/>
      <c r="D68" s="16"/>
      <c r="E68" s="16"/>
      <c r="F68" s="16"/>
      <c r="G68" s="16"/>
      <c r="H68" s="15" t="s">
        <v>86</v>
      </c>
      <c r="I68" s="52">
        <v>1</v>
      </c>
      <c r="J68" s="16">
        <v>4000000</v>
      </c>
      <c r="K68" s="52">
        <f t="shared" si="161"/>
        <v>6097.9606894964154</v>
      </c>
      <c r="L68" s="16">
        <f t="shared" ref="L68:L69" si="167">I68*J68</f>
        <v>4000000</v>
      </c>
      <c r="M68" s="16">
        <f t="shared" si="154"/>
        <v>6097.9606894964154</v>
      </c>
      <c r="N68" s="16"/>
      <c r="O68" s="16">
        <f t="shared" si="140"/>
        <v>0</v>
      </c>
      <c r="P68" s="16"/>
      <c r="Q68" s="16">
        <f t="shared" si="141"/>
        <v>0</v>
      </c>
      <c r="R68" s="16">
        <f t="shared" si="142"/>
        <v>0</v>
      </c>
      <c r="S68" s="15">
        <f t="shared" si="143"/>
        <v>0</v>
      </c>
      <c r="T68" s="16"/>
      <c r="U68" s="16">
        <f t="shared" si="144"/>
        <v>0</v>
      </c>
      <c r="V68" s="16">
        <f t="shared" si="145"/>
        <v>0</v>
      </c>
      <c r="W68" s="16">
        <f t="shared" si="146"/>
        <v>0</v>
      </c>
      <c r="X68" s="16"/>
      <c r="Y68" s="16">
        <f t="shared" si="147"/>
        <v>0</v>
      </c>
      <c r="Z68" s="16">
        <f t="shared" si="148"/>
        <v>0</v>
      </c>
      <c r="AA68" s="16">
        <f t="shared" si="149"/>
        <v>0</v>
      </c>
      <c r="AB68" s="16">
        <f t="shared" si="150"/>
        <v>4000000</v>
      </c>
      <c r="AC68" s="16">
        <f t="shared" ref="AC68" si="168">+AB68/655.957</f>
        <v>6097.9606894964154</v>
      </c>
      <c r="AD68" s="43">
        <f t="shared" si="152"/>
        <v>0</v>
      </c>
    </row>
    <row r="69" spans="1:30" ht="27.95" customHeight="1">
      <c r="A69" s="66" t="s">
        <v>97</v>
      </c>
      <c r="B69" s="15"/>
      <c r="C69" s="52"/>
      <c r="D69" s="16"/>
      <c r="E69" s="16"/>
      <c r="F69" s="16"/>
      <c r="G69" s="16"/>
      <c r="H69" s="15" t="s">
        <v>86</v>
      </c>
      <c r="I69" s="52">
        <v>1</v>
      </c>
      <c r="J69" s="16">
        <v>10000000</v>
      </c>
      <c r="K69" s="52">
        <f t="shared" si="161"/>
        <v>15244.901723741039</v>
      </c>
      <c r="L69" s="16">
        <f t="shared" si="167"/>
        <v>10000000</v>
      </c>
      <c r="M69" s="16">
        <f t="shared" ref="M69" si="169">+L69/655.957</f>
        <v>15244.901723741039</v>
      </c>
      <c r="N69" s="16"/>
      <c r="O69" s="16">
        <f t="shared" si="140"/>
        <v>0</v>
      </c>
      <c r="P69" s="16"/>
      <c r="Q69" s="16">
        <f t="shared" si="141"/>
        <v>0</v>
      </c>
      <c r="R69" s="16">
        <f t="shared" si="142"/>
        <v>0</v>
      </c>
      <c r="S69" s="15">
        <f t="shared" si="143"/>
        <v>0</v>
      </c>
      <c r="T69" s="16"/>
      <c r="U69" s="16">
        <f t="shared" si="144"/>
        <v>0</v>
      </c>
      <c r="V69" s="16">
        <f t="shared" si="145"/>
        <v>0</v>
      </c>
      <c r="W69" s="16">
        <f t="shared" si="146"/>
        <v>0</v>
      </c>
      <c r="X69" s="16"/>
      <c r="Y69" s="16">
        <f t="shared" si="147"/>
        <v>0</v>
      </c>
      <c r="Z69" s="16">
        <f t="shared" si="148"/>
        <v>0</v>
      </c>
      <c r="AA69" s="16">
        <f t="shared" si="149"/>
        <v>0</v>
      </c>
      <c r="AB69" s="16">
        <f t="shared" si="150"/>
        <v>10000000</v>
      </c>
      <c r="AC69" s="16">
        <f t="shared" ref="AC69" si="170">+AB69/655.957</f>
        <v>15244.901723741039</v>
      </c>
      <c r="AD69" s="43">
        <f t="shared" si="152"/>
        <v>0</v>
      </c>
    </row>
    <row r="70" spans="1:30" ht="27.95" customHeight="1">
      <c r="A70" s="66" t="s">
        <v>98</v>
      </c>
      <c r="B70" s="15" t="s">
        <v>88</v>
      </c>
      <c r="C70" s="52">
        <v>1</v>
      </c>
      <c r="D70" s="16">
        <v>7622</v>
      </c>
      <c r="E70" s="16">
        <f t="shared" si="139"/>
        <v>7622</v>
      </c>
      <c r="F70" s="16">
        <f t="shared" si="1"/>
        <v>4999704.2539999997</v>
      </c>
      <c r="G70" s="16"/>
      <c r="H70" s="15" t="s">
        <v>88</v>
      </c>
      <c r="I70" s="52">
        <v>1</v>
      </c>
      <c r="J70" s="16">
        <v>7000000</v>
      </c>
      <c r="K70" s="52">
        <f t="shared" si="161"/>
        <v>10671.431206618727</v>
      </c>
      <c r="L70" s="16">
        <f t="shared" si="153"/>
        <v>7000000</v>
      </c>
      <c r="M70" s="16">
        <f t="shared" si="154"/>
        <v>10671.431206618727</v>
      </c>
      <c r="N70" s="16"/>
      <c r="O70" s="16">
        <f t="shared" si="140"/>
        <v>0</v>
      </c>
      <c r="P70" s="16"/>
      <c r="Q70" s="16">
        <f t="shared" si="141"/>
        <v>0</v>
      </c>
      <c r="R70" s="16">
        <f t="shared" si="142"/>
        <v>0</v>
      </c>
      <c r="S70" s="15">
        <f t="shared" si="143"/>
        <v>0</v>
      </c>
      <c r="T70" s="16">
        <v>2400000</v>
      </c>
      <c r="U70" s="16">
        <f t="shared" si="144"/>
        <v>3658.776413697849</v>
      </c>
      <c r="V70" s="16">
        <f t="shared" si="145"/>
        <v>2400000</v>
      </c>
      <c r="W70" s="16">
        <f t="shared" si="146"/>
        <v>3658.776413697849</v>
      </c>
      <c r="X70" s="16"/>
      <c r="Y70" s="16">
        <f t="shared" si="147"/>
        <v>0</v>
      </c>
      <c r="Z70" s="16">
        <f t="shared" si="148"/>
        <v>2400000</v>
      </c>
      <c r="AA70" s="16">
        <f t="shared" si="149"/>
        <v>3658.776413697849</v>
      </c>
      <c r="AB70" s="16">
        <f t="shared" si="150"/>
        <v>4600000</v>
      </c>
      <c r="AC70" s="16">
        <f t="shared" ref="AC70" si="171">+AB70/655.957</f>
        <v>7012.6547929208773</v>
      </c>
      <c r="AD70" s="43">
        <f t="shared" si="152"/>
        <v>0.34285714285714286</v>
      </c>
    </row>
    <row r="71" spans="1:30" ht="27.95" customHeight="1">
      <c r="A71" s="66" t="s">
        <v>99</v>
      </c>
      <c r="B71" s="15" t="s">
        <v>70</v>
      </c>
      <c r="C71" s="52">
        <v>4</v>
      </c>
      <c r="D71" s="52">
        <v>2000</v>
      </c>
      <c r="E71" s="16">
        <f>C71*D71</f>
        <v>8000</v>
      </c>
      <c r="F71" s="16">
        <f t="shared" ref="F71" si="172">+E71*655.957</f>
        <v>5247656</v>
      </c>
      <c r="G71" s="16"/>
      <c r="H71" s="15" t="s">
        <v>70</v>
      </c>
      <c r="I71" s="52">
        <v>5</v>
      </c>
      <c r="J71" s="52">
        <v>3000000</v>
      </c>
      <c r="K71" s="52">
        <f t="shared" si="161"/>
        <v>4573.4705171223113</v>
      </c>
      <c r="L71" s="16">
        <f t="shared" si="153"/>
        <v>15000000</v>
      </c>
      <c r="M71" s="16">
        <f t="shared" si="154"/>
        <v>22867.352585611556</v>
      </c>
      <c r="N71" s="16"/>
      <c r="O71" s="16">
        <f t="shared" si="140"/>
        <v>0</v>
      </c>
      <c r="P71" s="16">
        <v>2390000</v>
      </c>
      <c r="Q71" s="16">
        <f t="shared" si="141"/>
        <v>3643.5315119741081</v>
      </c>
      <c r="R71" s="16">
        <f>N71+P71</f>
        <v>2390000</v>
      </c>
      <c r="S71" s="15">
        <f t="shared" si="143"/>
        <v>3643.5315119741081</v>
      </c>
      <c r="T71" s="16">
        <v>2700000</v>
      </c>
      <c r="U71" s="16">
        <f t="shared" si="144"/>
        <v>4116.1234654100799</v>
      </c>
      <c r="V71" s="16">
        <f t="shared" si="145"/>
        <v>5090000</v>
      </c>
      <c r="W71" s="16">
        <f t="shared" si="146"/>
        <v>7759.654977384188</v>
      </c>
      <c r="X71" s="16">
        <f>2880000+78715</f>
        <v>2958715</v>
      </c>
      <c r="Y71" s="16">
        <f t="shared" si="147"/>
        <v>4510.5319403558469</v>
      </c>
      <c r="Z71" s="16">
        <f t="shared" si="148"/>
        <v>8048715</v>
      </c>
      <c r="AA71" s="16">
        <f t="shared" si="149"/>
        <v>12270.186917740035</v>
      </c>
      <c r="AB71" s="16">
        <f t="shared" si="150"/>
        <v>6951285</v>
      </c>
      <c r="AC71" s="16">
        <f t="shared" ref="AC71" si="173">+AB71/655.957</f>
        <v>10597.165667871523</v>
      </c>
      <c r="AD71" s="43">
        <f t="shared" si="152"/>
        <v>0.53658099999999997</v>
      </c>
    </row>
    <row r="72" spans="1:30" ht="27.95" customHeight="1" collapsed="1">
      <c r="A72" s="68" t="s">
        <v>100</v>
      </c>
      <c r="B72" s="51"/>
      <c r="C72" s="17"/>
      <c r="D72" s="17"/>
      <c r="E72" s="18">
        <f>SUM(E57:E71)</f>
        <v>133769.22543093527</v>
      </c>
      <c r="F72" s="18">
        <f>SUM(F57:F71)</f>
        <v>87746859.805999979</v>
      </c>
      <c r="G72" s="19">
        <f>F72/$F$159</f>
        <v>0.12259683516367531</v>
      </c>
      <c r="H72" s="51"/>
      <c r="I72" s="17"/>
      <c r="J72" s="17"/>
      <c r="K72" s="17"/>
      <c r="L72" s="18">
        <f>SUM(L57:L71)</f>
        <v>116400000</v>
      </c>
      <c r="M72" s="18">
        <f>SUM(M57:M71)</f>
        <v>177450.65606434568</v>
      </c>
      <c r="N72" s="18">
        <f>SUM(N57:N71)</f>
        <v>27486595</v>
      </c>
      <c r="O72" s="18">
        <f t="shared" ref="O72:S72" si="174">SUM(O57:O71)</f>
        <v>41903.043949527171</v>
      </c>
      <c r="P72" s="18">
        <f t="shared" si="174"/>
        <v>11180114</v>
      </c>
      <c r="Q72" s="18">
        <f t="shared" si="174"/>
        <v>17043.97391902213</v>
      </c>
      <c r="R72" s="18">
        <f t="shared" si="174"/>
        <v>38666709</v>
      </c>
      <c r="S72" s="18">
        <f t="shared" si="174"/>
        <v>58947.017868549308</v>
      </c>
      <c r="T72" s="18">
        <f t="shared" ref="T72:AC72" si="175">SUM(T57:T71)</f>
        <v>19453668.135559998</v>
      </c>
      <c r="U72" s="18">
        <f t="shared" si="175"/>
        <v>29656.925889288475</v>
      </c>
      <c r="V72" s="18">
        <f>SUM(V57:V71)</f>
        <v>58120377.135559998</v>
      </c>
      <c r="W72" s="18">
        <f t="shared" si="175"/>
        <v>88603.943757837784</v>
      </c>
      <c r="X72" s="18">
        <f>SUM(X57:X71)</f>
        <v>12324778.662599999</v>
      </c>
      <c r="Y72" s="18">
        <f t="shared" si="175"/>
        <v>18789.00394781975</v>
      </c>
      <c r="Z72" s="18">
        <f>SUM(Z57:Z71)</f>
        <v>70445155.798160002</v>
      </c>
      <c r="AA72" s="18">
        <f t="shared" si="175"/>
        <v>107392.94770565754</v>
      </c>
      <c r="AB72" s="18">
        <f>SUM(AB57:AB71)</f>
        <v>45954844.201839998</v>
      </c>
      <c r="AC72" s="18">
        <f t="shared" si="175"/>
        <v>70057.708358688134</v>
      </c>
      <c r="AD72" s="47"/>
    </row>
    <row r="73" spans="1:30" ht="27.6" customHeight="1">
      <c r="A73" s="56" t="s">
        <v>101</v>
      </c>
      <c r="B73" s="11"/>
      <c r="C73" s="11"/>
      <c r="D73" s="11"/>
      <c r="E73" s="11"/>
      <c r="F73" s="16">
        <f t="shared" si="1"/>
        <v>0</v>
      </c>
      <c r="G73" s="16"/>
      <c r="H73" s="15"/>
      <c r="I73" s="52"/>
      <c r="J73" s="52"/>
      <c r="K73" s="52"/>
      <c r="L73" s="16"/>
      <c r="M73" s="16"/>
      <c r="N73" s="16"/>
      <c r="O73" s="16"/>
      <c r="P73" s="16"/>
      <c r="Q73" s="16"/>
      <c r="R73" s="16"/>
      <c r="S73" s="15"/>
      <c r="T73" s="16"/>
      <c r="U73" s="16"/>
      <c r="V73" s="16"/>
      <c r="W73" s="16"/>
      <c r="X73" s="16"/>
      <c r="Y73" s="16"/>
      <c r="Z73" s="16"/>
      <c r="AA73" s="16"/>
      <c r="AB73" s="16"/>
      <c r="AC73" s="16"/>
      <c r="AD73" s="43"/>
    </row>
    <row r="74" spans="1:30" s="31" customFormat="1" ht="27.6" customHeight="1">
      <c r="A74" s="56" t="s">
        <v>102</v>
      </c>
      <c r="B74" s="29" t="s">
        <v>88</v>
      </c>
      <c r="C74" s="30">
        <v>1</v>
      </c>
      <c r="D74" s="30">
        <v>15244.901723741039</v>
      </c>
      <c r="E74" s="30">
        <f t="shared" ref="E74:E96" si="176">C74*D74</f>
        <v>15244.901723741039</v>
      </c>
      <c r="F74" s="30">
        <f t="shared" si="1"/>
        <v>10000000</v>
      </c>
      <c r="G74" s="30"/>
      <c r="H74" s="29"/>
      <c r="I74" s="30"/>
      <c r="J74" s="30"/>
      <c r="K74" s="30"/>
      <c r="L74" s="30">
        <f>SUM(L75:L77)</f>
        <v>50000000</v>
      </c>
      <c r="M74" s="30">
        <f>SUM(M75:M77)</f>
        <v>76224.508618705178</v>
      </c>
      <c r="N74" s="30">
        <f t="shared" ref="N74:AC74" si="177">SUM(N75:N77)</f>
        <v>3517897</v>
      </c>
      <c r="O74" s="30">
        <f t="shared" si="177"/>
        <v>5362.9994039243429</v>
      </c>
      <c r="P74" s="30">
        <f t="shared" si="177"/>
        <v>2285593</v>
      </c>
      <c r="Q74" s="30">
        <f t="shared" si="177"/>
        <v>3484.3640665470452</v>
      </c>
      <c r="R74" s="30">
        <f t="shared" si="177"/>
        <v>5803490</v>
      </c>
      <c r="S74" s="30">
        <f t="shared" si="177"/>
        <v>8847.3634704713877</v>
      </c>
      <c r="T74" s="30">
        <f t="shared" si="177"/>
        <v>40462030</v>
      </c>
      <c r="U74" s="30">
        <f t="shared" si="177"/>
        <v>61683.967089306156</v>
      </c>
      <c r="V74" s="30">
        <f t="shared" si="177"/>
        <v>46265520</v>
      </c>
      <c r="W74" s="30">
        <f t="shared" si="177"/>
        <v>70531.330559777547</v>
      </c>
      <c r="X74" s="30">
        <f>SUM(X75:X77)</f>
        <v>2972500</v>
      </c>
      <c r="Y74" s="30">
        <f t="shared" si="177"/>
        <v>4531.5470373820235</v>
      </c>
      <c r="Z74" s="16">
        <f t="shared" ref="Z74:Z92" si="178">+V74+X74</f>
        <v>49238020</v>
      </c>
      <c r="AA74" s="16">
        <f t="shared" ref="AA74:AA92" si="179">+Z74/655.957</f>
        <v>75062.877597159575</v>
      </c>
      <c r="AB74" s="16">
        <f t="shared" ref="AB74:AB96" si="180">+L74-Z74</f>
        <v>761980</v>
      </c>
      <c r="AC74" s="30">
        <f t="shared" si="177"/>
        <v>1161.6310215456197</v>
      </c>
      <c r="AD74" s="43">
        <f t="shared" ref="AD74:AD96" si="181">+Z74/L74</f>
        <v>0.98476039999999998</v>
      </c>
    </row>
    <row r="75" spans="1:30" s="35" customFormat="1" ht="26.1" outlineLevel="1">
      <c r="A75" s="69" t="s">
        <v>102</v>
      </c>
      <c r="B75" s="201" t="s">
        <v>201</v>
      </c>
      <c r="C75" s="201"/>
      <c r="D75" s="201"/>
      <c r="E75" s="201"/>
      <c r="F75" s="201"/>
      <c r="G75" s="32"/>
      <c r="H75" s="26" t="s">
        <v>88</v>
      </c>
      <c r="I75" s="33">
        <v>1</v>
      </c>
      <c r="J75" s="33">
        <v>8000000</v>
      </c>
      <c r="K75" s="33">
        <f>J75/$B$2</f>
        <v>12195.921378992831</v>
      </c>
      <c r="L75" s="33">
        <f t="shared" ref="L75" si="182">I75*J75</f>
        <v>8000000</v>
      </c>
      <c r="M75" s="33">
        <f t="shared" ref="M75" si="183">+L75/655.957</f>
        <v>12195.921378992831</v>
      </c>
      <c r="N75" s="33">
        <v>3517897</v>
      </c>
      <c r="O75" s="16">
        <f t="shared" ref="O75:O95" si="184">+N75/655.957</f>
        <v>5362.9994039243429</v>
      </c>
      <c r="P75" s="33"/>
      <c r="Q75" s="16">
        <f t="shared" ref="Q75:Q95" si="185">+P75/655.957</f>
        <v>0</v>
      </c>
      <c r="R75" s="16">
        <f t="shared" ref="R75:R94" si="186">N75+P75</f>
        <v>3517897</v>
      </c>
      <c r="S75" s="15">
        <f t="shared" ref="S75:S95" si="187">+R75/655.957</f>
        <v>5362.9994039243429</v>
      </c>
      <c r="T75" s="33"/>
      <c r="U75" s="16">
        <f t="shared" ref="U75:U95" si="188">+T75/655.957</f>
        <v>0</v>
      </c>
      <c r="V75" s="16">
        <f>+R75+T75</f>
        <v>3517897</v>
      </c>
      <c r="W75" s="16">
        <f t="shared" ref="W75:W95" si="189">+V75/655.957</f>
        <v>5362.9994039243429</v>
      </c>
      <c r="X75" s="33"/>
      <c r="Y75" s="16">
        <f t="shared" ref="Y75:Y90" si="190">+X75/655.957</f>
        <v>0</v>
      </c>
      <c r="Z75" s="16">
        <f t="shared" si="178"/>
        <v>3517897</v>
      </c>
      <c r="AA75" s="16">
        <f t="shared" si="179"/>
        <v>5362.9994039243429</v>
      </c>
      <c r="AB75" s="16">
        <f t="shared" si="180"/>
        <v>4482103</v>
      </c>
      <c r="AC75" s="16">
        <f t="shared" ref="AC75" si="191">+AB75/655.957</f>
        <v>6832.9219750684879</v>
      </c>
      <c r="AD75" s="43">
        <f t="shared" si="181"/>
        <v>0.43973712500000001</v>
      </c>
    </row>
    <row r="76" spans="1:30" s="36" customFormat="1" ht="20.100000000000001" customHeight="1" outlineLevel="1">
      <c r="A76" s="69" t="s">
        <v>103</v>
      </c>
      <c r="B76" s="26"/>
      <c r="C76" s="34"/>
      <c r="D76" s="34"/>
      <c r="E76" s="34"/>
      <c r="F76" s="34"/>
      <c r="G76" s="34"/>
      <c r="H76" s="26" t="s">
        <v>88</v>
      </c>
      <c r="I76" s="33">
        <v>2</v>
      </c>
      <c r="J76" s="33">
        <v>6000000</v>
      </c>
      <c r="K76" s="33">
        <f>J76/$B$2</f>
        <v>9146.9410342446226</v>
      </c>
      <c r="L76" s="33">
        <f t="shared" ref="L76:L96" si="192">I76*J76</f>
        <v>12000000</v>
      </c>
      <c r="M76" s="33">
        <f t="shared" ref="M76:M96" si="193">+L76/655.957</f>
        <v>18293.882068489245</v>
      </c>
      <c r="N76" s="33"/>
      <c r="O76" s="16">
        <f t="shared" si="184"/>
        <v>0</v>
      </c>
      <c r="P76" s="33">
        <v>2285593</v>
      </c>
      <c r="Q76" s="16">
        <f t="shared" si="185"/>
        <v>3484.3640665470452</v>
      </c>
      <c r="R76" s="16">
        <f t="shared" si="186"/>
        <v>2285593</v>
      </c>
      <c r="S76" s="15">
        <f t="shared" si="187"/>
        <v>3484.3640665470452</v>
      </c>
      <c r="T76" s="33">
        <v>8537280</v>
      </c>
      <c r="U76" s="16">
        <f t="shared" si="188"/>
        <v>13014.999458805989</v>
      </c>
      <c r="V76" s="16">
        <f>+R76+T76</f>
        <v>10822873</v>
      </c>
      <c r="W76" s="16">
        <f t="shared" si="189"/>
        <v>16499.363525353034</v>
      </c>
      <c r="X76" s="33"/>
      <c r="Y76" s="16">
        <f t="shared" si="190"/>
        <v>0</v>
      </c>
      <c r="Z76" s="16">
        <f t="shared" si="178"/>
        <v>10822873</v>
      </c>
      <c r="AA76" s="16">
        <f t="shared" si="179"/>
        <v>16499.363525353034</v>
      </c>
      <c r="AB76" s="16">
        <f t="shared" si="180"/>
        <v>1177127</v>
      </c>
      <c r="AC76" s="16">
        <f t="shared" ref="AC76" si="194">+AB76/655.957</f>
        <v>1794.5185431362117</v>
      </c>
      <c r="AD76" s="43">
        <f t="shared" si="181"/>
        <v>0.90190608333333333</v>
      </c>
    </row>
    <row r="77" spans="1:30" s="36" customFormat="1" ht="32.1" customHeight="1" outlineLevel="1">
      <c r="A77" s="69" t="s">
        <v>104</v>
      </c>
      <c r="B77" s="26"/>
      <c r="C77" s="34"/>
      <c r="D77" s="34"/>
      <c r="E77" s="34"/>
      <c r="F77" s="34"/>
      <c r="G77" s="34"/>
      <c r="H77" s="26" t="s">
        <v>88</v>
      </c>
      <c r="I77" s="33">
        <v>1</v>
      </c>
      <c r="J77" s="33">
        <v>30000000</v>
      </c>
      <c r="K77" s="33">
        <f>J77/$B$2</f>
        <v>45734.705171223111</v>
      </c>
      <c r="L77" s="33">
        <f t="shared" si="192"/>
        <v>30000000</v>
      </c>
      <c r="M77" s="33">
        <f>+L77/655.957</f>
        <v>45734.705171223111</v>
      </c>
      <c r="N77" s="33"/>
      <c r="O77" s="16">
        <f t="shared" si="184"/>
        <v>0</v>
      </c>
      <c r="P77" s="33"/>
      <c r="Q77" s="16">
        <f t="shared" si="185"/>
        <v>0</v>
      </c>
      <c r="R77" s="16">
        <f t="shared" si="186"/>
        <v>0</v>
      </c>
      <c r="S77" s="15">
        <f t="shared" si="187"/>
        <v>0</v>
      </c>
      <c r="T77" s="33">
        <v>31924750</v>
      </c>
      <c r="U77" s="16">
        <f t="shared" si="188"/>
        <v>48668.96763050017</v>
      </c>
      <c r="V77" s="16">
        <f>+R77+T77</f>
        <v>31924750</v>
      </c>
      <c r="W77" s="16">
        <f t="shared" si="189"/>
        <v>48668.96763050017</v>
      </c>
      <c r="X77" s="33">
        <v>2972500</v>
      </c>
      <c r="Y77" s="16">
        <f t="shared" si="190"/>
        <v>4531.5470373820235</v>
      </c>
      <c r="Z77" s="16">
        <f t="shared" si="178"/>
        <v>34897250</v>
      </c>
      <c r="AA77" s="16">
        <f t="shared" si="179"/>
        <v>53200.514667882191</v>
      </c>
      <c r="AB77" s="16">
        <f t="shared" si="180"/>
        <v>-4897250</v>
      </c>
      <c r="AC77" s="16">
        <f t="shared" ref="AC77" si="195">+AB77/655.957</f>
        <v>-7465.8094966590797</v>
      </c>
      <c r="AD77" s="43">
        <f t="shared" si="181"/>
        <v>1.1632416666666667</v>
      </c>
    </row>
    <row r="78" spans="1:30" s="31" customFormat="1" ht="44.45" customHeight="1">
      <c r="A78" s="56" t="s">
        <v>105</v>
      </c>
      <c r="B78" s="29" t="s">
        <v>88</v>
      </c>
      <c r="C78" s="30">
        <v>4</v>
      </c>
      <c r="D78" s="30">
        <v>3812</v>
      </c>
      <c r="E78" s="30">
        <f t="shared" si="176"/>
        <v>15248</v>
      </c>
      <c r="F78" s="30">
        <f t="shared" si="1"/>
        <v>10002032.335999999</v>
      </c>
      <c r="G78" s="30"/>
      <c r="H78" s="29"/>
      <c r="I78" s="30"/>
      <c r="J78" s="30" t="s">
        <v>2</v>
      </c>
      <c r="K78" s="30"/>
      <c r="L78" s="30">
        <f>SUM(L79:L80)</f>
        <v>13530590</v>
      </c>
      <c r="M78" s="30">
        <f>SUM(M79:M80)</f>
        <v>20627.251481423325</v>
      </c>
      <c r="N78" s="30">
        <f t="shared" ref="N78:AC78" si="196">SUM(N79:N80)</f>
        <v>0</v>
      </c>
      <c r="O78" s="30">
        <f t="shared" si="196"/>
        <v>0</v>
      </c>
      <c r="P78" s="30">
        <f t="shared" si="196"/>
        <v>9530590</v>
      </c>
      <c r="Q78" s="30">
        <f t="shared" si="196"/>
        <v>14529.290791926909</v>
      </c>
      <c r="R78" s="30">
        <f t="shared" si="196"/>
        <v>9530590</v>
      </c>
      <c r="S78" s="30">
        <f t="shared" si="196"/>
        <v>14529.290791926909</v>
      </c>
      <c r="T78" s="30">
        <f t="shared" si="196"/>
        <v>0</v>
      </c>
      <c r="U78" s="30">
        <f t="shared" si="196"/>
        <v>0</v>
      </c>
      <c r="V78" s="30">
        <f t="shared" si="196"/>
        <v>9530590</v>
      </c>
      <c r="W78" s="30">
        <f t="shared" si="196"/>
        <v>14529.290791926909</v>
      </c>
      <c r="X78" s="30">
        <f>SUM(X79:X80)</f>
        <v>3663000</v>
      </c>
      <c r="Y78" s="16">
        <f t="shared" si="190"/>
        <v>5584.2075014063421</v>
      </c>
      <c r="Z78" s="16">
        <f t="shared" si="178"/>
        <v>13193590</v>
      </c>
      <c r="AA78" s="16">
        <f t="shared" si="179"/>
        <v>20113.498293333254</v>
      </c>
      <c r="AB78" s="16">
        <f t="shared" si="180"/>
        <v>337000</v>
      </c>
      <c r="AC78" s="30">
        <f t="shared" si="196"/>
        <v>513.75318809007297</v>
      </c>
      <c r="AD78" s="43">
        <f t="shared" si="181"/>
        <v>0.97509347338142682</v>
      </c>
    </row>
    <row r="79" spans="1:30" s="35" customFormat="1" ht="39" outlineLevel="1">
      <c r="A79" s="69" t="s">
        <v>105</v>
      </c>
      <c r="B79" s="201" t="s">
        <v>201</v>
      </c>
      <c r="C79" s="201"/>
      <c r="D79" s="201"/>
      <c r="E79" s="201"/>
      <c r="F79" s="201"/>
      <c r="G79" s="32"/>
      <c r="H79" s="33" t="s">
        <v>88</v>
      </c>
      <c r="I79" s="33">
        <v>1</v>
      </c>
      <c r="J79" s="33">
        <v>9530590</v>
      </c>
      <c r="K79" s="33">
        <f>J79/$B$2</f>
        <v>14529.290791926909</v>
      </c>
      <c r="L79" s="33">
        <f t="shared" ref="L79" si="197">+K79*655.957</f>
        <v>9530590</v>
      </c>
      <c r="M79" s="33">
        <f>+L79/655.957</f>
        <v>14529.290791926909</v>
      </c>
      <c r="N79" s="33"/>
      <c r="O79" s="16">
        <f t="shared" si="184"/>
        <v>0</v>
      </c>
      <c r="P79" s="33">
        <v>9530590</v>
      </c>
      <c r="Q79" s="16">
        <f t="shared" si="185"/>
        <v>14529.290791926909</v>
      </c>
      <c r="R79" s="16">
        <f t="shared" si="186"/>
        <v>9530590</v>
      </c>
      <c r="S79" s="15">
        <f t="shared" si="187"/>
        <v>14529.290791926909</v>
      </c>
      <c r="T79" s="33"/>
      <c r="U79" s="16">
        <f t="shared" si="188"/>
        <v>0</v>
      </c>
      <c r="V79" s="16">
        <f>+R79+T79</f>
        <v>9530590</v>
      </c>
      <c r="W79" s="16">
        <f t="shared" si="189"/>
        <v>14529.290791926909</v>
      </c>
      <c r="X79" s="33"/>
      <c r="Y79" s="16">
        <f t="shared" si="190"/>
        <v>0</v>
      </c>
      <c r="Z79" s="16">
        <f t="shared" si="178"/>
        <v>9530590</v>
      </c>
      <c r="AA79" s="16">
        <f t="shared" si="179"/>
        <v>14529.290791926909</v>
      </c>
      <c r="AB79" s="16">
        <f t="shared" si="180"/>
        <v>0</v>
      </c>
      <c r="AC79" s="16">
        <f t="shared" ref="AC79" si="198">+AB79/655.957</f>
        <v>0</v>
      </c>
      <c r="AD79" s="43">
        <f t="shared" si="181"/>
        <v>1</v>
      </c>
    </row>
    <row r="80" spans="1:30" s="37" customFormat="1" ht="39" outlineLevel="1">
      <c r="A80" s="69" t="s">
        <v>106</v>
      </c>
      <c r="B80" s="33"/>
      <c r="C80" s="33"/>
      <c r="D80" s="33"/>
      <c r="E80" s="33"/>
      <c r="F80" s="33"/>
      <c r="G80" s="33"/>
      <c r="H80" s="33" t="s">
        <v>88</v>
      </c>
      <c r="I80" s="33">
        <v>1</v>
      </c>
      <c r="J80" s="33">
        <v>4000000</v>
      </c>
      <c r="K80" s="33">
        <f>J80/$B$2</f>
        <v>6097.9606894964154</v>
      </c>
      <c r="L80" s="33">
        <f t="shared" si="192"/>
        <v>4000000</v>
      </c>
      <c r="M80" s="33">
        <f>+L80/655.957</f>
        <v>6097.9606894964154</v>
      </c>
      <c r="N80" s="33"/>
      <c r="O80" s="16">
        <f t="shared" si="184"/>
        <v>0</v>
      </c>
      <c r="P80" s="33"/>
      <c r="Q80" s="16">
        <f t="shared" si="185"/>
        <v>0</v>
      </c>
      <c r="R80" s="16">
        <f t="shared" si="186"/>
        <v>0</v>
      </c>
      <c r="S80" s="15">
        <f t="shared" si="187"/>
        <v>0</v>
      </c>
      <c r="T80" s="33"/>
      <c r="U80" s="16">
        <f t="shared" si="188"/>
        <v>0</v>
      </c>
      <c r="V80" s="16">
        <f>+R80+T80</f>
        <v>0</v>
      </c>
      <c r="W80" s="16">
        <f t="shared" si="189"/>
        <v>0</v>
      </c>
      <c r="X80" s="33">
        <v>3663000</v>
      </c>
      <c r="Y80" s="16">
        <f t="shared" si="190"/>
        <v>5584.2075014063421</v>
      </c>
      <c r="Z80" s="16">
        <f t="shared" si="178"/>
        <v>3663000</v>
      </c>
      <c r="AA80" s="16">
        <f t="shared" si="179"/>
        <v>5584.2075014063421</v>
      </c>
      <c r="AB80" s="16">
        <f t="shared" si="180"/>
        <v>337000</v>
      </c>
      <c r="AC80" s="16">
        <f t="shared" ref="AC80" si="199">+AB80/655.957</f>
        <v>513.75318809007297</v>
      </c>
      <c r="AD80" s="43">
        <f t="shared" si="181"/>
        <v>0.91574999999999995</v>
      </c>
    </row>
    <row r="81" spans="1:30" s="31" customFormat="1" ht="51" customHeight="1">
      <c r="A81" s="56" t="s">
        <v>107</v>
      </c>
      <c r="B81" s="29" t="s">
        <v>88</v>
      </c>
      <c r="C81" s="30">
        <v>2</v>
      </c>
      <c r="D81" s="30">
        <v>33539</v>
      </c>
      <c r="E81" s="30">
        <f t="shared" si="176"/>
        <v>67078</v>
      </c>
      <c r="F81" s="30">
        <f t="shared" si="1"/>
        <v>44000283.645999998</v>
      </c>
      <c r="G81" s="30"/>
      <c r="H81" s="29" t="s">
        <v>88</v>
      </c>
      <c r="I81" s="30">
        <v>1</v>
      </c>
      <c r="J81" s="30">
        <v>17200000</v>
      </c>
      <c r="K81" s="30">
        <f>J81/$B$2</f>
        <v>26221.230964834587</v>
      </c>
      <c r="L81" s="30">
        <f>I81*J81</f>
        <v>17200000</v>
      </c>
      <c r="M81" s="30">
        <f t="shared" si="193"/>
        <v>26221.230964834587</v>
      </c>
      <c r="N81" s="30"/>
      <c r="O81" s="13">
        <f t="shared" si="184"/>
        <v>0</v>
      </c>
      <c r="P81" s="30">
        <v>17171592</v>
      </c>
      <c r="Q81" s="13">
        <f t="shared" si="185"/>
        <v>26177.923248017782</v>
      </c>
      <c r="R81" s="13">
        <f t="shared" si="186"/>
        <v>17171592</v>
      </c>
      <c r="S81" s="12">
        <f t="shared" si="187"/>
        <v>26177.923248017782</v>
      </c>
      <c r="T81" s="30"/>
      <c r="U81" s="13">
        <f t="shared" si="188"/>
        <v>0</v>
      </c>
      <c r="V81" s="13">
        <f>+R81+T81</f>
        <v>17171592</v>
      </c>
      <c r="W81" s="13">
        <f t="shared" si="189"/>
        <v>26177.923248017782</v>
      </c>
      <c r="X81" s="30"/>
      <c r="Y81" s="16">
        <f t="shared" si="190"/>
        <v>0</v>
      </c>
      <c r="Z81" s="16">
        <f t="shared" si="178"/>
        <v>17171592</v>
      </c>
      <c r="AA81" s="16">
        <f t="shared" si="179"/>
        <v>26177.923248017782</v>
      </c>
      <c r="AB81" s="16">
        <f t="shared" si="180"/>
        <v>28408</v>
      </c>
      <c r="AC81" s="13">
        <f t="shared" ref="AC81" si="200">+AB81/655.957</f>
        <v>43.307716816803541</v>
      </c>
      <c r="AD81" s="43">
        <f t="shared" si="181"/>
        <v>0.9983483720930233</v>
      </c>
    </row>
    <row r="82" spans="1:30" s="31" customFormat="1" ht="42.95" customHeight="1">
      <c r="A82" s="56" t="s">
        <v>108</v>
      </c>
      <c r="B82" s="29" t="s">
        <v>88</v>
      </c>
      <c r="C82" s="30">
        <v>1</v>
      </c>
      <c r="D82" s="30">
        <v>18293.882068489245</v>
      </c>
      <c r="E82" s="30">
        <f>C82*D82</f>
        <v>18293.882068489245</v>
      </c>
      <c r="F82" s="30">
        <f>+E82*655.957</f>
        <v>12000000</v>
      </c>
      <c r="G82" s="30"/>
      <c r="H82" s="29" t="s">
        <v>88</v>
      </c>
      <c r="I82" s="30">
        <v>1</v>
      </c>
      <c r="J82" s="30">
        <v>6000000</v>
      </c>
      <c r="K82" s="30">
        <f>J82/$B$2</f>
        <v>9146.9410342446226</v>
      </c>
      <c r="L82" s="30">
        <f>I82*J82</f>
        <v>6000000</v>
      </c>
      <c r="M82" s="30">
        <f>+L82/655.957</f>
        <v>9146.9410342446226</v>
      </c>
      <c r="N82" s="30"/>
      <c r="O82" s="13">
        <f t="shared" si="184"/>
        <v>0</v>
      </c>
      <c r="P82" s="30">
        <v>3564882</v>
      </c>
      <c r="Q82" s="13">
        <f t="shared" si="185"/>
        <v>5434.62757467334</v>
      </c>
      <c r="R82" s="13">
        <f t="shared" si="186"/>
        <v>3564882</v>
      </c>
      <c r="S82" s="12">
        <f t="shared" si="187"/>
        <v>5434.62757467334</v>
      </c>
      <c r="T82" s="30">
        <v>1352583</v>
      </c>
      <c r="U82" s="13">
        <f t="shared" si="188"/>
        <v>2061.9994908202825</v>
      </c>
      <c r="V82" s="13">
        <f>+R82+T82</f>
        <v>4917465</v>
      </c>
      <c r="W82" s="13">
        <f t="shared" si="189"/>
        <v>7496.6270654936225</v>
      </c>
      <c r="X82" s="30">
        <v>0</v>
      </c>
      <c r="Y82" s="16">
        <f t="shared" si="190"/>
        <v>0</v>
      </c>
      <c r="Z82" s="16">
        <f t="shared" si="178"/>
        <v>4917465</v>
      </c>
      <c r="AA82" s="16">
        <f t="shared" si="179"/>
        <v>7496.6270654936225</v>
      </c>
      <c r="AB82" s="16">
        <f t="shared" si="180"/>
        <v>1082535</v>
      </c>
      <c r="AC82" s="13">
        <f t="shared" ref="AC82" si="201">+AB82/655.957</f>
        <v>1650.3139687510004</v>
      </c>
      <c r="AD82" s="43">
        <f t="shared" si="181"/>
        <v>0.81957749999999996</v>
      </c>
    </row>
    <row r="83" spans="1:30" s="31" customFormat="1" ht="27.6" customHeight="1">
      <c r="A83" s="56" t="s">
        <v>109</v>
      </c>
      <c r="B83" s="29"/>
      <c r="C83" s="30"/>
      <c r="D83" s="30"/>
      <c r="E83" s="30"/>
      <c r="F83" s="30"/>
      <c r="G83" s="30"/>
      <c r="H83" s="29"/>
      <c r="I83" s="30"/>
      <c r="J83" s="30"/>
      <c r="K83" s="30"/>
      <c r="L83" s="30">
        <f>SUM(L84:L91)</f>
        <v>218080000</v>
      </c>
      <c r="M83" s="30">
        <f>SUM(M84:Q91)</f>
        <v>332460.81679134455</v>
      </c>
      <c r="N83" s="30">
        <f t="shared" ref="N83:Y83" si="202">SUM(N84:N90)</f>
        <v>0</v>
      </c>
      <c r="O83" s="30">
        <f t="shared" si="202"/>
        <v>0</v>
      </c>
      <c r="P83" s="30">
        <f t="shared" si="202"/>
        <v>0</v>
      </c>
      <c r="Q83" s="30">
        <f t="shared" si="202"/>
        <v>0</v>
      </c>
      <c r="R83" s="30">
        <f t="shared" ref="R83:X83" si="203">SUM(R84:R91)</f>
        <v>0</v>
      </c>
      <c r="S83" s="30">
        <f t="shared" si="203"/>
        <v>0</v>
      </c>
      <c r="T83" s="30">
        <f t="shared" si="203"/>
        <v>117285542</v>
      </c>
      <c r="U83" s="30">
        <f t="shared" si="203"/>
        <v>178800.65614057021</v>
      </c>
      <c r="V83" s="30">
        <f t="shared" si="203"/>
        <v>117285542</v>
      </c>
      <c r="W83" s="30">
        <f t="shared" si="203"/>
        <v>178800.65614057021</v>
      </c>
      <c r="X83" s="30">
        <f t="shared" si="203"/>
        <v>98576406</v>
      </c>
      <c r="Y83" s="30">
        <f t="shared" si="202"/>
        <v>143083.16856135384</v>
      </c>
      <c r="Z83" s="16">
        <f>+V83+X83</f>
        <v>215861948</v>
      </c>
      <c r="AA83" s="16">
        <f>+Z83/655.957</f>
        <v>329079.41831552982</v>
      </c>
      <c r="AB83" s="16">
        <f t="shared" si="180"/>
        <v>2218052</v>
      </c>
      <c r="AC83" s="30">
        <f>SUM(AC84:AC91)</f>
        <v>2954.5412275499766</v>
      </c>
      <c r="AD83" s="43">
        <f t="shared" si="181"/>
        <v>0.98982918195157743</v>
      </c>
    </row>
    <row r="84" spans="1:30" s="36" customFormat="1" outlineLevel="1">
      <c r="A84" s="69" t="s">
        <v>110</v>
      </c>
      <c r="B84" s="26"/>
      <c r="C84" s="34"/>
      <c r="D84" s="34"/>
      <c r="E84" s="34"/>
      <c r="F84" s="34"/>
      <c r="G84" s="34"/>
      <c r="H84" s="26" t="s">
        <v>88</v>
      </c>
      <c r="I84" s="34">
        <v>1</v>
      </c>
      <c r="J84" s="34">
        <v>500000</v>
      </c>
      <c r="K84" s="34">
        <f t="shared" ref="K84:K91" si="204">J84/$B$2</f>
        <v>762.24508618705192</v>
      </c>
      <c r="L84" s="34">
        <f t="shared" si="192"/>
        <v>500000</v>
      </c>
      <c r="M84" s="34">
        <f t="shared" si="193"/>
        <v>762.24508618705192</v>
      </c>
      <c r="N84" s="34"/>
      <c r="O84" s="16">
        <f t="shared" si="184"/>
        <v>0</v>
      </c>
      <c r="P84" s="34"/>
      <c r="Q84" s="16">
        <f t="shared" si="185"/>
        <v>0</v>
      </c>
      <c r="R84" s="16">
        <f t="shared" si="186"/>
        <v>0</v>
      </c>
      <c r="S84" s="15">
        <f t="shared" si="187"/>
        <v>0</v>
      </c>
      <c r="T84" s="34">
        <v>169000</v>
      </c>
      <c r="U84" s="16">
        <f t="shared" si="188"/>
        <v>257.63883913122356</v>
      </c>
      <c r="V84" s="16">
        <f t="shared" ref="V84:V90" si="205">+R84+T84</f>
        <v>169000</v>
      </c>
      <c r="W84" s="16">
        <f t="shared" si="189"/>
        <v>257.63883913122356</v>
      </c>
      <c r="X84" s="34"/>
      <c r="Y84" s="16">
        <f>+X84/655.957</f>
        <v>0</v>
      </c>
      <c r="Z84" s="16">
        <f>+V84+X84</f>
        <v>169000</v>
      </c>
      <c r="AA84" s="16">
        <f t="shared" si="179"/>
        <v>257.63883913122356</v>
      </c>
      <c r="AB84" s="16">
        <f t="shared" si="180"/>
        <v>331000</v>
      </c>
      <c r="AC84" s="16">
        <f t="shared" ref="AC84" si="206">+AB84/655.957</f>
        <v>504.60624705582836</v>
      </c>
      <c r="AD84" s="43">
        <f t="shared" si="181"/>
        <v>0.33800000000000002</v>
      </c>
    </row>
    <row r="85" spans="1:30" s="36" customFormat="1" outlineLevel="1">
      <c r="A85" s="69" t="s">
        <v>111</v>
      </c>
      <c r="B85" s="26"/>
      <c r="C85" s="34"/>
      <c r="D85" s="34"/>
      <c r="E85" s="34"/>
      <c r="F85" s="34"/>
      <c r="G85" s="34"/>
      <c r="H85" s="26" t="s">
        <v>88</v>
      </c>
      <c r="I85" s="34">
        <v>29</v>
      </c>
      <c r="J85" s="34">
        <f>31000000/29</f>
        <v>1068965.5172413792</v>
      </c>
      <c r="K85" s="34">
        <f t="shared" si="204"/>
        <v>1629.6274256412833</v>
      </c>
      <c r="L85" s="34">
        <f t="shared" si="192"/>
        <v>31000000</v>
      </c>
      <c r="M85" s="34">
        <f t="shared" si="193"/>
        <v>47259.195343597217</v>
      </c>
      <c r="N85" s="34"/>
      <c r="O85" s="16">
        <f t="shared" si="184"/>
        <v>0</v>
      </c>
      <c r="P85" s="34"/>
      <c r="Q85" s="16">
        <f t="shared" si="185"/>
        <v>0</v>
      </c>
      <c r="R85" s="16">
        <f t="shared" si="186"/>
        <v>0</v>
      </c>
      <c r="S85" s="15">
        <f t="shared" si="187"/>
        <v>0</v>
      </c>
      <c r="T85" s="34">
        <v>27183500</v>
      </c>
      <c r="U85" s="16">
        <f t="shared" si="188"/>
        <v>41440.978600731454</v>
      </c>
      <c r="V85" s="16">
        <f t="shared" si="205"/>
        <v>27183500</v>
      </c>
      <c r="W85" s="16">
        <f t="shared" si="189"/>
        <v>41440.978600731454</v>
      </c>
      <c r="X85" s="34"/>
      <c r="Y85" s="16">
        <f t="shared" si="190"/>
        <v>0</v>
      </c>
      <c r="Z85" s="16">
        <f t="shared" si="178"/>
        <v>27183500</v>
      </c>
      <c r="AA85" s="16">
        <f t="shared" si="179"/>
        <v>41440.978600731454</v>
      </c>
      <c r="AB85" s="16">
        <f t="shared" si="180"/>
        <v>3816500</v>
      </c>
      <c r="AC85" s="16">
        <f t="shared" ref="AC85" si="207">+AB85/655.957</f>
        <v>5818.2167428657667</v>
      </c>
      <c r="AD85" s="43">
        <f t="shared" si="181"/>
        <v>0.87688709677419352</v>
      </c>
    </row>
    <row r="86" spans="1:30" s="36" customFormat="1" outlineLevel="1">
      <c r="A86" s="69" t="s">
        <v>112</v>
      </c>
      <c r="B86" s="26"/>
      <c r="C86" s="34"/>
      <c r="D86" s="34"/>
      <c r="E86" s="34"/>
      <c r="F86" s="34"/>
      <c r="G86" s="34"/>
      <c r="H86" s="26" t="s">
        <v>88</v>
      </c>
      <c r="I86" s="34">
        <v>1</v>
      </c>
      <c r="J86" s="34">
        <v>7000000</v>
      </c>
      <c r="K86" s="34">
        <f t="shared" si="204"/>
        <v>10671.431206618727</v>
      </c>
      <c r="L86" s="34">
        <f t="shared" ref="L86" si="208">I86*J86</f>
        <v>7000000</v>
      </c>
      <c r="M86" s="34">
        <f t="shared" ref="M86" si="209">+L86/655.957</f>
        <v>10671.431206618727</v>
      </c>
      <c r="N86" s="34"/>
      <c r="O86" s="16">
        <f t="shared" si="184"/>
        <v>0</v>
      </c>
      <c r="P86" s="34"/>
      <c r="Q86" s="16">
        <f t="shared" si="185"/>
        <v>0</v>
      </c>
      <c r="R86" s="16">
        <f t="shared" si="186"/>
        <v>0</v>
      </c>
      <c r="S86" s="15">
        <f t="shared" si="187"/>
        <v>0</v>
      </c>
      <c r="T86" s="34">
        <v>6930902</v>
      </c>
      <c r="U86" s="16">
        <f t="shared" si="188"/>
        <v>10566.091984688021</v>
      </c>
      <c r="V86" s="16">
        <f t="shared" si="205"/>
        <v>6930902</v>
      </c>
      <c r="W86" s="16">
        <f t="shared" si="189"/>
        <v>10566.091984688021</v>
      </c>
      <c r="X86" s="34">
        <v>0</v>
      </c>
      <c r="Y86" s="16">
        <f t="shared" si="190"/>
        <v>0</v>
      </c>
      <c r="Z86" s="16">
        <f t="shared" si="178"/>
        <v>6930902</v>
      </c>
      <c r="AA86" s="16">
        <f t="shared" si="179"/>
        <v>10566.091984688021</v>
      </c>
      <c r="AB86" s="16">
        <f t="shared" si="180"/>
        <v>69098</v>
      </c>
      <c r="AC86" s="16">
        <f t="shared" ref="AC86" si="210">+AB86/655.957</f>
        <v>105.33922193070582</v>
      </c>
      <c r="AD86" s="43">
        <f t="shared" si="181"/>
        <v>0.99012885714285714</v>
      </c>
    </row>
    <row r="87" spans="1:30" s="36" customFormat="1" outlineLevel="1">
      <c r="A87" s="69" t="s">
        <v>113</v>
      </c>
      <c r="B87" s="26"/>
      <c r="C87" s="34"/>
      <c r="D87" s="34"/>
      <c r="E87" s="34"/>
      <c r="F87" s="34"/>
      <c r="G87" s="34"/>
      <c r="H87" s="26" t="s">
        <v>88</v>
      </c>
      <c r="I87" s="34">
        <v>1</v>
      </c>
      <c r="J87" s="34">
        <v>3500000</v>
      </c>
      <c r="K87" s="34">
        <f t="shared" si="204"/>
        <v>5335.7156033093634</v>
      </c>
      <c r="L87" s="34">
        <f t="shared" ref="L87" si="211">I87*J87</f>
        <v>3500000</v>
      </c>
      <c r="M87" s="34">
        <f t="shared" ref="M87" si="212">+L87/655.957</f>
        <v>5335.7156033093634</v>
      </c>
      <c r="N87" s="34"/>
      <c r="O87" s="16">
        <f t="shared" si="184"/>
        <v>0</v>
      </c>
      <c r="P87" s="34"/>
      <c r="Q87" s="16">
        <f t="shared" si="185"/>
        <v>0</v>
      </c>
      <c r="R87" s="16">
        <f t="shared" si="186"/>
        <v>0</v>
      </c>
      <c r="S87" s="15">
        <f t="shared" si="187"/>
        <v>0</v>
      </c>
      <c r="T87" s="34">
        <v>3150000</v>
      </c>
      <c r="U87" s="16">
        <f t="shared" si="188"/>
        <v>4802.144042978427</v>
      </c>
      <c r="V87" s="16">
        <f t="shared" si="205"/>
        <v>3150000</v>
      </c>
      <c r="W87" s="16">
        <f t="shared" si="189"/>
        <v>4802.144042978427</v>
      </c>
      <c r="X87" s="34"/>
      <c r="Y87" s="16">
        <f t="shared" si="190"/>
        <v>0</v>
      </c>
      <c r="Z87" s="16">
        <f t="shared" si="178"/>
        <v>3150000</v>
      </c>
      <c r="AA87" s="16">
        <f t="shared" si="179"/>
        <v>4802.144042978427</v>
      </c>
      <c r="AB87" s="16">
        <f t="shared" si="180"/>
        <v>350000</v>
      </c>
      <c r="AC87" s="16">
        <f t="shared" ref="AC87" si="213">+AB87/655.957</f>
        <v>533.57156033093634</v>
      </c>
      <c r="AD87" s="43">
        <f t="shared" si="181"/>
        <v>0.9</v>
      </c>
    </row>
    <row r="88" spans="1:30" s="36" customFormat="1" outlineLevel="1">
      <c r="A88" s="69" t="s">
        <v>114</v>
      </c>
      <c r="B88" s="26"/>
      <c r="C88" s="34"/>
      <c r="D88" s="34"/>
      <c r="E88" s="34"/>
      <c r="F88" s="34"/>
      <c r="G88" s="34"/>
      <c r="H88" s="26" t="s">
        <v>30</v>
      </c>
      <c r="I88" s="34">
        <v>24</v>
      </c>
      <c r="J88" s="34">
        <v>6670000</v>
      </c>
      <c r="K88" s="34">
        <f t="shared" si="204"/>
        <v>10168.349449735273</v>
      </c>
      <c r="L88" s="34">
        <f t="shared" si="192"/>
        <v>160080000</v>
      </c>
      <c r="M88" s="34">
        <f t="shared" si="193"/>
        <v>244040.38679364652</v>
      </c>
      <c r="N88" s="34"/>
      <c r="O88" s="16">
        <f t="shared" si="184"/>
        <v>0</v>
      </c>
      <c r="P88" s="34"/>
      <c r="Q88" s="16">
        <f t="shared" si="185"/>
        <v>0</v>
      </c>
      <c r="R88" s="16">
        <f t="shared" si="186"/>
        <v>0</v>
      </c>
      <c r="S88" s="15">
        <f t="shared" si="187"/>
        <v>0</v>
      </c>
      <c r="T88" s="34">
        <v>79129640</v>
      </c>
      <c r="U88" s="16">
        <f t="shared" si="188"/>
        <v>120632.35852350078</v>
      </c>
      <c r="V88" s="16">
        <f t="shared" si="205"/>
        <v>79129640</v>
      </c>
      <c r="W88" s="16">
        <f t="shared" si="189"/>
        <v>120632.35852350078</v>
      </c>
      <c r="X88" s="34">
        <v>86010706</v>
      </c>
      <c r="Y88" s="16">
        <f t="shared" si="190"/>
        <v>131122.47601595835</v>
      </c>
      <c r="Z88" s="16">
        <f t="shared" si="178"/>
        <v>165140346</v>
      </c>
      <c r="AA88" s="16">
        <f t="shared" si="179"/>
        <v>251754.83453945915</v>
      </c>
      <c r="AB88" s="16">
        <f t="shared" si="180"/>
        <v>-5060346</v>
      </c>
      <c r="AC88" s="16">
        <f t="shared" ref="AC88" si="214">+AB88/655.957</f>
        <v>-7714.4477458126066</v>
      </c>
      <c r="AD88" s="43">
        <f t="shared" si="181"/>
        <v>1.0316113568215892</v>
      </c>
    </row>
    <row r="89" spans="1:30" s="36" customFormat="1" outlineLevel="1">
      <c r="A89" s="69" t="s">
        <v>115</v>
      </c>
      <c r="B89" s="26"/>
      <c r="C89" s="34"/>
      <c r="D89" s="34"/>
      <c r="E89" s="34"/>
      <c r="F89" s="34"/>
      <c r="G89" s="34"/>
      <c r="H89" s="26" t="s">
        <v>88</v>
      </c>
      <c r="I89" s="34">
        <v>1</v>
      </c>
      <c r="J89" s="34">
        <v>7000000</v>
      </c>
      <c r="K89" s="34">
        <f t="shared" si="204"/>
        <v>10671.431206618727</v>
      </c>
      <c r="L89" s="34">
        <f t="shared" si="192"/>
        <v>7000000</v>
      </c>
      <c r="M89" s="34">
        <f t="shared" si="193"/>
        <v>10671.431206618727</v>
      </c>
      <c r="N89" s="34"/>
      <c r="O89" s="16">
        <f t="shared" si="184"/>
        <v>0</v>
      </c>
      <c r="P89" s="34"/>
      <c r="Q89" s="16">
        <f t="shared" si="185"/>
        <v>0</v>
      </c>
      <c r="R89" s="16">
        <f t="shared" si="186"/>
        <v>0</v>
      </c>
      <c r="S89" s="15">
        <f t="shared" si="187"/>
        <v>0</v>
      </c>
      <c r="T89" s="34"/>
      <c r="U89" s="16">
        <f t="shared" si="188"/>
        <v>0</v>
      </c>
      <c r="V89" s="16">
        <f t="shared" si="205"/>
        <v>0</v>
      </c>
      <c r="W89" s="16">
        <f t="shared" si="189"/>
        <v>0</v>
      </c>
      <c r="X89" s="34">
        <v>6845700</v>
      </c>
      <c r="Y89" s="16">
        <f t="shared" si="190"/>
        <v>10436.202373021402</v>
      </c>
      <c r="Z89" s="16">
        <f t="shared" si="178"/>
        <v>6845700</v>
      </c>
      <c r="AA89" s="16">
        <f t="shared" si="179"/>
        <v>10436.202373021402</v>
      </c>
      <c r="AB89" s="16">
        <f t="shared" si="180"/>
        <v>154300</v>
      </c>
      <c r="AC89" s="16">
        <f t="shared" ref="AC89" si="215">+AB89/655.957</f>
        <v>235.22883359732421</v>
      </c>
      <c r="AD89" s="43">
        <f t="shared" si="181"/>
        <v>0.97795714285714286</v>
      </c>
    </row>
    <row r="90" spans="1:30" s="36" customFormat="1" outlineLevel="1">
      <c r="A90" s="69" t="s">
        <v>116</v>
      </c>
      <c r="B90" s="26"/>
      <c r="C90" s="34"/>
      <c r="D90" s="34"/>
      <c r="E90" s="34"/>
      <c r="F90" s="34"/>
      <c r="G90" s="34"/>
      <c r="H90" s="26" t="s">
        <v>88</v>
      </c>
      <c r="I90" s="34">
        <v>1</v>
      </c>
      <c r="J90" s="34">
        <v>4000000</v>
      </c>
      <c r="K90" s="34">
        <f t="shared" si="204"/>
        <v>6097.9606894964154</v>
      </c>
      <c r="L90" s="34">
        <f t="shared" si="192"/>
        <v>4000000</v>
      </c>
      <c r="M90" s="34">
        <f t="shared" ref="M90:M91" si="216">+L90/655.957</f>
        <v>6097.9606894964154</v>
      </c>
      <c r="N90" s="34"/>
      <c r="O90" s="16">
        <f t="shared" si="184"/>
        <v>0</v>
      </c>
      <c r="P90" s="34"/>
      <c r="Q90" s="16">
        <f t="shared" si="185"/>
        <v>0</v>
      </c>
      <c r="R90" s="16">
        <f t="shared" si="186"/>
        <v>0</v>
      </c>
      <c r="S90" s="15">
        <f t="shared" si="187"/>
        <v>0</v>
      </c>
      <c r="T90" s="34">
        <v>722500</v>
      </c>
      <c r="U90" s="16">
        <f t="shared" si="188"/>
        <v>1101.44414954029</v>
      </c>
      <c r="V90" s="16">
        <f t="shared" si="205"/>
        <v>722500</v>
      </c>
      <c r="W90" s="16">
        <f t="shared" si="189"/>
        <v>1101.44414954029</v>
      </c>
      <c r="X90" s="34">
        <v>1000000</v>
      </c>
      <c r="Y90" s="16">
        <f t="shared" si="190"/>
        <v>1524.4901723741038</v>
      </c>
      <c r="Z90" s="16">
        <f t="shared" si="178"/>
        <v>1722500</v>
      </c>
      <c r="AA90" s="16">
        <f t="shared" si="179"/>
        <v>2625.9343219143939</v>
      </c>
      <c r="AB90" s="16">
        <f t="shared" si="180"/>
        <v>2277500</v>
      </c>
      <c r="AC90" s="16">
        <f t="shared" ref="AC90" si="217">+AB90/655.957</f>
        <v>3472.0263675820215</v>
      </c>
      <c r="AD90" s="43">
        <f t="shared" si="181"/>
        <v>0.43062499999999998</v>
      </c>
    </row>
    <row r="91" spans="1:30" s="36" customFormat="1" outlineLevel="1">
      <c r="A91" s="182" t="s">
        <v>117</v>
      </c>
      <c r="B91" s="26"/>
      <c r="C91" s="34"/>
      <c r="D91" s="34"/>
      <c r="E91" s="34"/>
      <c r="F91" s="34"/>
      <c r="G91" s="34"/>
      <c r="H91" s="26" t="s">
        <v>88</v>
      </c>
      <c r="I91" s="34">
        <v>1</v>
      </c>
      <c r="J91" s="34">
        <v>5000000</v>
      </c>
      <c r="K91" s="34">
        <f t="shared" si="204"/>
        <v>7622.4508618705195</v>
      </c>
      <c r="L91" s="34">
        <f t="shared" si="192"/>
        <v>5000000</v>
      </c>
      <c r="M91" s="34">
        <f t="shared" si="216"/>
        <v>7622.4508618705195</v>
      </c>
      <c r="N91" s="34"/>
      <c r="O91" s="16"/>
      <c r="P91" s="34"/>
      <c r="Q91" s="16"/>
      <c r="R91" s="16"/>
      <c r="S91" s="15"/>
      <c r="T91" s="34"/>
      <c r="U91" s="16"/>
      <c r="V91" s="16"/>
      <c r="W91" s="16"/>
      <c r="X91" s="34">
        <v>4720000</v>
      </c>
      <c r="Y91" s="16"/>
      <c r="Z91" s="16"/>
      <c r="AA91" s="16"/>
      <c r="AB91" s="16">
        <f t="shared" si="180"/>
        <v>5000000</v>
      </c>
      <c r="AC91" s="16"/>
      <c r="AD91" s="43">
        <f t="shared" si="181"/>
        <v>0</v>
      </c>
    </row>
    <row r="92" spans="1:30" s="31" customFormat="1" ht="27.6" customHeight="1">
      <c r="A92" s="56" t="s">
        <v>118</v>
      </c>
      <c r="B92" s="32"/>
      <c r="C92" s="30"/>
      <c r="D92" s="30"/>
      <c r="E92" s="30"/>
      <c r="F92" s="30"/>
      <c r="G92" s="30"/>
      <c r="H92" s="30"/>
      <c r="I92" s="30"/>
      <c r="J92" s="30"/>
      <c r="K92" s="30"/>
      <c r="L92" s="30">
        <f>SUM(L93:L96)</f>
        <v>35715000</v>
      </c>
      <c r="M92" s="30">
        <f>SUM(M93:M96)</f>
        <v>54447.16650634112</v>
      </c>
      <c r="N92" s="30">
        <f t="shared" ref="N92:AC92" si="218">SUM(N93:N96)</f>
        <v>3215000</v>
      </c>
      <c r="O92" s="30">
        <f t="shared" si="218"/>
        <v>4901.235904182744</v>
      </c>
      <c r="P92" s="30">
        <f t="shared" si="218"/>
        <v>10873110</v>
      </c>
      <c r="Q92" s="30">
        <f t="shared" si="218"/>
        <v>16575.949338142593</v>
      </c>
      <c r="R92" s="30">
        <f t="shared" si="218"/>
        <v>14088110</v>
      </c>
      <c r="S92" s="30">
        <f t="shared" si="218"/>
        <v>21477.185242325337</v>
      </c>
      <c r="T92" s="30">
        <f>SUM(T93:T96)</f>
        <v>17961920</v>
      </c>
      <c r="U92" s="30">
        <f t="shared" si="218"/>
        <v>27382.770516969864</v>
      </c>
      <c r="V92" s="30">
        <f t="shared" si="218"/>
        <v>32050030</v>
      </c>
      <c r="W92" s="30">
        <f t="shared" si="218"/>
        <v>48859.955759295197</v>
      </c>
      <c r="X92" s="30">
        <f>SUM(X93:X96)</f>
        <v>7950000</v>
      </c>
      <c r="Y92" s="30">
        <f t="shared" si="218"/>
        <v>0</v>
      </c>
      <c r="Z92" s="16">
        <f t="shared" si="178"/>
        <v>40000030</v>
      </c>
      <c r="AA92" s="16">
        <f t="shared" si="179"/>
        <v>60979.652629669326</v>
      </c>
      <c r="AB92" s="16">
        <f t="shared" si="180"/>
        <v>-4285030</v>
      </c>
      <c r="AC92" s="30">
        <f t="shared" si="218"/>
        <v>54447.16650634112</v>
      </c>
      <c r="AD92" s="43">
        <f t="shared" si="181"/>
        <v>1.1199784404311914</v>
      </c>
    </row>
    <row r="93" spans="1:30" s="35" customFormat="1" ht="26.1" outlineLevel="1">
      <c r="A93" s="70" t="s">
        <v>118</v>
      </c>
      <c r="B93" s="201" t="s">
        <v>201</v>
      </c>
      <c r="C93" s="201"/>
      <c r="D93" s="201"/>
      <c r="E93" s="201"/>
      <c r="F93" s="201"/>
      <c r="G93" s="32"/>
      <c r="H93" s="15" t="s">
        <v>88</v>
      </c>
      <c r="I93" s="25">
        <v>1</v>
      </c>
      <c r="J93" s="38">
        <v>4715000</v>
      </c>
      <c r="K93" s="34">
        <f>J93/$B$2</f>
        <v>7187.9711627438992</v>
      </c>
      <c r="L93" s="38">
        <f t="shared" ref="L93" si="219">I93*J93</f>
        <v>4715000</v>
      </c>
      <c r="M93" s="38">
        <f t="shared" ref="M93" si="220">+L93/655.957</f>
        <v>7187.9711627438992</v>
      </c>
      <c r="N93" s="38">
        <v>0</v>
      </c>
      <c r="O93" s="16">
        <f t="shared" si="184"/>
        <v>0</v>
      </c>
      <c r="P93" s="38">
        <v>4715000</v>
      </c>
      <c r="Q93" s="16">
        <f t="shared" si="185"/>
        <v>7187.9711627438992</v>
      </c>
      <c r="R93" s="16">
        <f t="shared" si="186"/>
        <v>4715000</v>
      </c>
      <c r="S93" s="15">
        <f t="shared" si="187"/>
        <v>7187.9711627438992</v>
      </c>
      <c r="T93" s="38"/>
      <c r="U93" s="16">
        <f t="shared" si="188"/>
        <v>0</v>
      </c>
      <c r="V93" s="16">
        <f>+R93+T93</f>
        <v>4715000</v>
      </c>
      <c r="W93" s="16">
        <f t="shared" si="189"/>
        <v>7187.9711627438992</v>
      </c>
      <c r="X93" s="38"/>
      <c r="Y93" s="16"/>
      <c r="Z93" s="16"/>
      <c r="AA93" s="16"/>
      <c r="AB93" s="16">
        <f t="shared" si="180"/>
        <v>4715000</v>
      </c>
      <c r="AC93" s="16">
        <f t="shared" ref="AC93" si="221">+AB93/655.957</f>
        <v>7187.9711627438992</v>
      </c>
      <c r="AD93" s="43">
        <f t="shared" si="181"/>
        <v>0</v>
      </c>
    </row>
    <row r="94" spans="1:30" s="6" customFormat="1" ht="39" outlineLevel="1">
      <c r="A94" s="70" t="s">
        <v>119</v>
      </c>
      <c r="B94" s="15"/>
      <c r="C94" s="25"/>
      <c r="D94" s="38"/>
      <c r="E94" s="38"/>
      <c r="F94" s="38"/>
      <c r="G94" s="38"/>
      <c r="H94" s="15" t="s">
        <v>88</v>
      </c>
      <c r="I94" s="25">
        <v>1</v>
      </c>
      <c r="J94" s="38">
        <v>15000000</v>
      </c>
      <c r="K94" s="34">
        <f>J94/$B$2</f>
        <v>22867.352585611556</v>
      </c>
      <c r="L94" s="38">
        <f t="shared" si="192"/>
        <v>15000000</v>
      </c>
      <c r="M94" s="38">
        <f t="shared" si="193"/>
        <v>22867.352585611556</v>
      </c>
      <c r="N94" s="38">
        <v>0</v>
      </c>
      <c r="O94" s="16">
        <f t="shared" si="184"/>
        <v>0</v>
      </c>
      <c r="P94" s="38">
        <v>3358110</v>
      </c>
      <c r="Q94" s="16">
        <f t="shared" si="185"/>
        <v>5119.405692751202</v>
      </c>
      <c r="R94" s="16">
        <f t="shared" si="186"/>
        <v>3358110</v>
      </c>
      <c r="S94" s="15">
        <f t="shared" si="187"/>
        <v>5119.405692751202</v>
      </c>
      <c r="T94" s="38">
        <v>14081920</v>
      </c>
      <c r="U94" s="16">
        <f t="shared" si="188"/>
        <v>21467.74864815834</v>
      </c>
      <c r="V94" s="16">
        <f>+R94+T94</f>
        <v>17440030</v>
      </c>
      <c r="W94" s="16">
        <f t="shared" si="189"/>
        <v>26587.154340909543</v>
      </c>
      <c r="X94" s="38">
        <v>4050000</v>
      </c>
      <c r="Y94" s="16"/>
      <c r="Z94" s="16"/>
      <c r="AA94" s="16"/>
      <c r="AB94" s="16">
        <f t="shared" si="180"/>
        <v>15000000</v>
      </c>
      <c r="AC94" s="16">
        <f t="shared" ref="AC94" si="222">+AB94/655.957</f>
        <v>22867.352585611556</v>
      </c>
      <c r="AD94" s="43">
        <f t="shared" si="181"/>
        <v>0</v>
      </c>
    </row>
    <row r="95" spans="1:30" s="36" customFormat="1" ht="26.1" outlineLevel="1">
      <c r="A95" s="69" t="s">
        <v>120</v>
      </c>
      <c r="B95" s="26"/>
      <c r="C95" s="34"/>
      <c r="D95" s="34"/>
      <c r="E95" s="34"/>
      <c r="F95" s="34"/>
      <c r="G95" s="34"/>
      <c r="H95" s="26" t="s">
        <v>88</v>
      </c>
      <c r="I95" s="34">
        <v>4</v>
      </c>
      <c r="J95" s="34">
        <v>4000000</v>
      </c>
      <c r="K95" s="34">
        <f>J95/$B$2</f>
        <v>6097.9606894964154</v>
      </c>
      <c r="L95" s="34">
        <f t="shared" si="192"/>
        <v>16000000</v>
      </c>
      <c r="M95" s="34">
        <f t="shared" si="193"/>
        <v>24391.842757985662</v>
      </c>
      <c r="N95" s="34">
        <v>3215000</v>
      </c>
      <c r="O95" s="16">
        <f t="shared" si="184"/>
        <v>4901.235904182744</v>
      </c>
      <c r="P95" s="34">
        <v>2800000</v>
      </c>
      <c r="Q95" s="16">
        <f t="shared" si="185"/>
        <v>4268.5724826474907</v>
      </c>
      <c r="R95" s="16">
        <f>N95+P95</f>
        <v>6015000</v>
      </c>
      <c r="S95" s="15">
        <f t="shared" si="187"/>
        <v>9169.8083868302347</v>
      </c>
      <c r="T95" s="34">
        <v>3880000</v>
      </c>
      <c r="U95" s="16">
        <f t="shared" si="188"/>
        <v>5915.0218688115228</v>
      </c>
      <c r="V95" s="16">
        <f>+R95+T95</f>
        <v>9895000</v>
      </c>
      <c r="W95" s="16">
        <f t="shared" si="189"/>
        <v>15084.830255641757</v>
      </c>
      <c r="X95" s="34">
        <v>3900000</v>
      </c>
      <c r="Y95" s="16"/>
      <c r="Z95" s="16"/>
      <c r="AA95" s="16"/>
      <c r="AB95" s="16">
        <f t="shared" si="180"/>
        <v>16000000</v>
      </c>
      <c r="AC95" s="16">
        <f t="shared" ref="AC95" si="223">+AB95/655.957</f>
        <v>24391.842757985662</v>
      </c>
      <c r="AD95" s="43">
        <f t="shared" si="181"/>
        <v>0</v>
      </c>
    </row>
    <row r="96" spans="1:30" s="31" customFormat="1" ht="26.1" outlineLevel="1" collapsed="1">
      <c r="A96" s="56" t="s">
        <v>121</v>
      </c>
      <c r="B96" s="29" t="s">
        <v>88</v>
      </c>
      <c r="C96" s="30">
        <v>1</v>
      </c>
      <c r="D96" s="30">
        <v>22867</v>
      </c>
      <c r="E96" s="30">
        <f t="shared" si="176"/>
        <v>22867</v>
      </c>
      <c r="F96" s="30">
        <f t="shared" si="1"/>
        <v>14999768.719000001</v>
      </c>
      <c r="G96" s="30"/>
      <c r="H96" s="29" t="s">
        <v>88</v>
      </c>
      <c r="I96" s="30">
        <v>0</v>
      </c>
      <c r="J96" s="30">
        <v>0</v>
      </c>
      <c r="K96" s="30"/>
      <c r="L96" s="30">
        <f t="shared" si="192"/>
        <v>0</v>
      </c>
      <c r="M96" s="30">
        <f t="shared" si="193"/>
        <v>0</v>
      </c>
      <c r="N96" s="30"/>
      <c r="O96" s="30"/>
      <c r="P96" s="30"/>
      <c r="Q96" s="30"/>
      <c r="R96" s="30"/>
      <c r="S96" s="29"/>
      <c r="T96" s="30"/>
      <c r="U96" s="30"/>
      <c r="V96" s="30"/>
      <c r="W96" s="30"/>
      <c r="X96" s="30"/>
      <c r="Y96" s="30"/>
      <c r="Z96" s="30"/>
      <c r="AA96" s="30"/>
      <c r="AB96" s="16">
        <f t="shared" si="180"/>
        <v>0</v>
      </c>
      <c r="AC96" s="30"/>
      <c r="AD96" s="43" t="e">
        <f t="shared" si="181"/>
        <v>#DIV/0!</v>
      </c>
    </row>
    <row r="97" spans="1:30" ht="27.6" customHeight="1">
      <c r="A97" s="68" t="s">
        <v>122</v>
      </c>
      <c r="B97" s="51"/>
      <c r="C97" s="17"/>
      <c r="D97" s="17"/>
      <c r="E97" s="18">
        <f>E74+E78+E81+E82+E83+E92+E96</f>
        <v>138731.78379223027</v>
      </c>
      <c r="F97" s="18">
        <f>F74+F78+F81+F82+F83+F92+F96</f>
        <v>91002084.70099999</v>
      </c>
      <c r="G97" s="19">
        <f>F97/$F$159</f>
        <v>0.12714492122345383</v>
      </c>
      <c r="H97" s="51"/>
      <c r="I97" s="17"/>
      <c r="J97" s="17"/>
      <c r="K97" s="17"/>
      <c r="L97" s="18">
        <f t="shared" ref="L97:S97" si="224">L74+L78+L81+L82+L83+L92+L96</f>
        <v>340525590</v>
      </c>
      <c r="M97" s="18">
        <f t="shared" si="224"/>
        <v>519127.9153968934</v>
      </c>
      <c r="N97" s="18">
        <f t="shared" si="224"/>
        <v>6732897</v>
      </c>
      <c r="O97" s="18">
        <f t="shared" si="224"/>
        <v>10264.235308107087</v>
      </c>
      <c r="P97" s="18">
        <f t="shared" si="224"/>
        <v>43425767</v>
      </c>
      <c r="Q97" s="18">
        <f t="shared" si="224"/>
        <v>66202.155019307669</v>
      </c>
      <c r="R97" s="18">
        <f t="shared" si="224"/>
        <v>50158664</v>
      </c>
      <c r="S97" s="18">
        <f t="shared" si="224"/>
        <v>76466.39032741476</v>
      </c>
      <c r="T97" s="18">
        <f t="shared" ref="T97:AC97" si="225">T74+T78+T81+T82+T83+T92+T96</f>
        <v>177062075</v>
      </c>
      <c r="U97" s="18">
        <f t="shared" si="225"/>
        <v>269929.39323766652</v>
      </c>
      <c r="V97" s="18">
        <f t="shared" si="225"/>
        <v>227220739</v>
      </c>
      <c r="W97" s="18">
        <f t="shared" si="225"/>
        <v>346395.78356508125</v>
      </c>
      <c r="X97" s="18">
        <f>X74+X78+X81+X82+X83+X92+X96</f>
        <v>113161906</v>
      </c>
      <c r="Y97" s="18">
        <f t="shared" si="225"/>
        <v>153198.92310014222</v>
      </c>
      <c r="Z97" s="18">
        <f t="shared" si="225"/>
        <v>340382645</v>
      </c>
      <c r="AA97" s="18">
        <f t="shared" si="225"/>
        <v>518909.99714920338</v>
      </c>
      <c r="AB97" s="18">
        <f t="shared" si="225"/>
        <v>142945</v>
      </c>
      <c r="AC97" s="18">
        <f t="shared" si="225"/>
        <v>60770.713629094593</v>
      </c>
      <c r="AD97" s="47"/>
    </row>
    <row r="98" spans="1:30" ht="27.6" customHeight="1">
      <c r="A98" s="56" t="s">
        <v>123</v>
      </c>
      <c r="B98" s="15"/>
      <c r="C98" s="52"/>
      <c r="D98" s="16"/>
      <c r="E98" s="16"/>
      <c r="F98" s="16"/>
      <c r="G98" s="16"/>
      <c r="H98" s="15"/>
      <c r="I98" s="52"/>
      <c r="J98" s="16"/>
      <c r="K98" s="16"/>
      <c r="L98" s="16">
        <f t="shared" ref="L98" si="226">I98*J98</f>
        <v>0</v>
      </c>
      <c r="M98" s="16"/>
      <c r="N98" s="16"/>
      <c r="O98" s="16"/>
      <c r="P98" s="16"/>
      <c r="Q98" s="16"/>
      <c r="R98" s="16"/>
      <c r="S98" s="15"/>
      <c r="T98" s="16"/>
      <c r="U98" s="16"/>
      <c r="V98" s="16"/>
      <c r="W98" s="16"/>
      <c r="X98" s="16"/>
      <c r="Y98" s="16"/>
      <c r="Z98" s="16"/>
      <c r="AA98" s="16"/>
      <c r="AB98" s="16"/>
      <c r="AC98" s="16"/>
      <c r="AD98" s="43"/>
    </row>
    <row r="99" spans="1:30" s="31" customFormat="1" ht="27.6" customHeight="1">
      <c r="A99" s="56" t="s">
        <v>124</v>
      </c>
      <c r="B99" s="29" t="s">
        <v>88</v>
      </c>
      <c r="C99" s="30">
        <v>1</v>
      </c>
      <c r="D99" s="30">
        <v>7405</v>
      </c>
      <c r="E99" s="30">
        <f>C99*D99</f>
        <v>7405</v>
      </c>
      <c r="F99" s="30">
        <f t="shared" si="1"/>
        <v>4857361.585</v>
      </c>
      <c r="G99" s="30"/>
      <c r="H99" s="29" t="s">
        <v>88</v>
      </c>
      <c r="I99" s="30">
        <v>1</v>
      </c>
      <c r="J99" s="30">
        <v>3750000</v>
      </c>
      <c r="K99" s="30">
        <f t="shared" ref="K99:K107" si="227">J99/$B$2</f>
        <v>5716.8381464028889</v>
      </c>
      <c r="L99" s="30">
        <f>I99*J99</f>
        <v>3750000</v>
      </c>
      <c r="M99" s="30">
        <f>+L99/655.957</f>
        <v>5716.8381464028889</v>
      </c>
      <c r="N99" s="30">
        <v>3744203</v>
      </c>
      <c r="O99" s="13">
        <f t="shared" ref="O99:O108" si="228">+N99/655.957</f>
        <v>5708.0006768736366</v>
      </c>
      <c r="P99" s="30">
        <v>0</v>
      </c>
      <c r="Q99" s="13">
        <f t="shared" ref="Q99:Q108" si="229">+P99/655.957</f>
        <v>0</v>
      </c>
      <c r="R99" s="13">
        <f t="shared" ref="R99:R108" si="230">N99+P99</f>
        <v>3744203</v>
      </c>
      <c r="S99" s="12">
        <f t="shared" ref="S99:S108" si="231">+R99/655.957</f>
        <v>5708.0006768736366</v>
      </c>
      <c r="T99" s="30">
        <v>0</v>
      </c>
      <c r="U99" s="13">
        <f t="shared" ref="U99:U108" si="232">+T99/655.957</f>
        <v>0</v>
      </c>
      <c r="V99" s="13">
        <f>+R99+T99</f>
        <v>3744203</v>
      </c>
      <c r="W99" s="13">
        <f t="shared" ref="W99:W108" si="233">+V99/655.957</f>
        <v>5708.0006768736366</v>
      </c>
      <c r="X99" s="30">
        <v>0</v>
      </c>
      <c r="Y99" s="16">
        <f t="shared" ref="Y99:Y114" si="234">+X99/655.957</f>
        <v>0</v>
      </c>
      <c r="Z99" s="16">
        <f t="shared" ref="Z99:Z114" si="235">+V99+X99</f>
        <v>3744203</v>
      </c>
      <c r="AA99" s="16">
        <f t="shared" ref="AA99:AA114" si="236">+Z99/655.957</f>
        <v>5708.0006768736366</v>
      </c>
      <c r="AB99" s="16">
        <f t="shared" ref="AB99:AB116" si="237">+L99-Z99</f>
        <v>5797</v>
      </c>
      <c r="AC99" s="13">
        <f t="shared" ref="AC99:AC108" si="238">+AB99/655.957</f>
        <v>8.8374695292526795</v>
      </c>
      <c r="AD99" s="43">
        <f t="shared" ref="AD99:AD116" si="239">+Z99/L99</f>
        <v>0.99845413333333333</v>
      </c>
    </row>
    <row r="100" spans="1:30" s="31" customFormat="1" ht="27.6" customHeight="1">
      <c r="A100" s="56" t="s">
        <v>125</v>
      </c>
      <c r="B100" s="29" t="s">
        <v>88</v>
      </c>
      <c r="C100" s="30">
        <v>6</v>
      </c>
      <c r="D100" s="30">
        <v>3812</v>
      </c>
      <c r="E100" s="30">
        <f>C100*D100</f>
        <v>22872</v>
      </c>
      <c r="F100" s="30">
        <f t="shared" si="1"/>
        <v>15003048.504000001</v>
      </c>
      <c r="G100" s="30"/>
      <c r="H100" s="29" t="s">
        <v>88</v>
      </c>
      <c r="I100" s="30">
        <v>1</v>
      </c>
      <c r="J100" s="30">
        <v>13950000</v>
      </c>
      <c r="K100" s="30">
        <f t="shared" si="227"/>
        <v>21266.637904618747</v>
      </c>
      <c r="L100" s="30">
        <f>I100*J100</f>
        <v>13950000</v>
      </c>
      <c r="M100" s="30">
        <f>+L100/655.957</f>
        <v>21266.637904618747</v>
      </c>
      <c r="N100" s="30"/>
      <c r="O100" s="13">
        <f t="shared" si="228"/>
        <v>0</v>
      </c>
      <c r="P100" s="30">
        <v>13930012</v>
      </c>
      <c r="Q100" s="13">
        <f t="shared" si="229"/>
        <v>21236.166395053333</v>
      </c>
      <c r="R100" s="13">
        <f t="shared" si="230"/>
        <v>13930012</v>
      </c>
      <c r="S100" s="12">
        <f t="shared" si="231"/>
        <v>21236.166395053333</v>
      </c>
      <c r="T100" s="30"/>
      <c r="U100" s="13">
        <f t="shared" si="232"/>
        <v>0</v>
      </c>
      <c r="V100" s="13">
        <f>+R100+T100</f>
        <v>13930012</v>
      </c>
      <c r="W100" s="13">
        <f t="shared" si="233"/>
        <v>21236.166395053333</v>
      </c>
      <c r="X100" s="30"/>
      <c r="Y100" s="16">
        <f t="shared" si="234"/>
        <v>0</v>
      </c>
      <c r="Z100" s="16">
        <f t="shared" si="235"/>
        <v>13930012</v>
      </c>
      <c r="AA100" s="16">
        <f t="shared" si="236"/>
        <v>21236.166395053333</v>
      </c>
      <c r="AB100" s="16">
        <f t="shared" si="237"/>
        <v>19988</v>
      </c>
      <c r="AC100" s="13">
        <f t="shared" si="238"/>
        <v>30.471509565413587</v>
      </c>
      <c r="AD100" s="43">
        <f t="shared" si="239"/>
        <v>0.99856716845878135</v>
      </c>
    </row>
    <row r="101" spans="1:30" s="31" customFormat="1" ht="39.6" customHeight="1">
      <c r="A101" s="56" t="s">
        <v>126</v>
      </c>
      <c r="B101" s="29" t="s">
        <v>88</v>
      </c>
      <c r="C101" s="30">
        <v>1</v>
      </c>
      <c r="D101" s="30">
        <v>83224</v>
      </c>
      <c r="E101" s="30">
        <f>C101*D101</f>
        <v>83224</v>
      </c>
      <c r="F101" s="30">
        <f t="shared" si="1"/>
        <v>54591365.368000001</v>
      </c>
      <c r="G101" s="30"/>
      <c r="H101" s="29" t="s">
        <v>88</v>
      </c>
      <c r="I101" s="30"/>
      <c r="J101" s="30"/>
      <c r="K101" s="30">
        <f t="shared" si="227"/>
        <v>0</v>
      </c>
      <c r="L101" s="30">
        <f t="shared" ref="L101:S101" si="240">SUM(L102:L104)</f>
        <v>19500000</v>
      </c>
      <c r="M101" s="30">
        <f t="shared" si="240"/>
        <v>29727.558361295025</v>
      </c>
      <c r="N101" s="30">
        <f t="shared" si="240"/>
        <v>0</v>
      </c>
      <c r="O101" s="30">
        <f t="shared" si="240"/>
        <v>0</v>
      </c>
      <c r="P101" s="30">
        <f t="shared" si="240"/>
        <v>13753500</v>
      </c>
      <c r="Q101" s="30">
        <f t="shared" si="240"/>
        <v>20967.075585747236</v>
      </c>
      <c r="R101" s="30">
        <f t="shared" si="240"/>
        <v>13753500</v>
      </c>
      <c r="S101" s="30">
        <f t="shared" si="240"/>
        <v>20967.075585747236</v>
      </c>
      <c r="T101" s="30">
        <f t="shared" ref="T101:W101" si="241">SUM(T102:T104)</f>
        <v>0</v>
      </c>
      <c r="U101" s="30">
        <f t="shared" si="241"/>
        <v>0</v>
      </c>
      <c r="V101" s="30">
        <f t="shared" si="241"/>
        <v>13753500</v>
      </c>
      <c r="W101" s="30">
        <f t="shared" si="241"/>
        <v>20967.075585747236</v>
      </c>
      <c r="X101" s="30">
        <f>SUM(X102:X104)</f>
        <v>0</v>
      </c>
      <c r="Y101" s="16">
        <f t="shared" si="234"/>
        <v>0</v>
      </c>
      <c r="Z101" s="16">
        <f t="shared" si="235"/>
        <v>13753500</v>
      </c>
      <c r="AA101" s="16">
        <f t="shared" si="236"/>
        <v>20967.075585747236</v>
      </c>
      <c r="AB101" s="16">
        <f t="shared" si="237"/>
        <v>5746500</v>
      </c>
      <c r="AC101" s="30">
        <f>SUM(AC102:AC104)</f>
        <v>8760.4827755477872</v>
      </c>
      <c r="AD101" s="43">
        <f t="shared" si="239"/>
        <v>0.7053076923076923</v>
      </c>
    </row>
    <row r="102" spans="1:30" s="36" customFormat="1" outlineLevel="1">
      <c r="A102" s="69" t="s">
        <v>127</v>
      </c>
      <c r="B102" s="26"/>
      <c r="C102" s="34"/>
      <c r="D102" s="34"/>
      <c r="E102" s="34"/>
      <c r="F102" s="34"/>
      <c r="G102" s="34"/>
      <c r="H102" s="26" t="s">
        <v>88</v>
      </c>
      <c r="I102" s="34"/>
      <c r="J102" s="34"/>
      <c r="K102" s="34">
        <f t="shared" si="227"/>
        <v>0</v>
      </c>
      <c r="L102" s="34">
        <f t="shared" ref="L102:L116" si="242">I102*J102</f>
        <v>0</v>
      </c>
      <c r="M102" s="34">
        <f t="shared" ref="M102:M116" si="243">+L102/655.957</f>
        <v>0</v>
      </c>
      <c r="N102" s="34"/>
      <c r="O102" s="16">
        <f t="shared" si="228"/>
        <v>0</v>
      </c>
      <c r="P102" s="34"/>
      <c r="Q102" s="16">
        <f t="shared" si="229"/>
        <v>0</v>
      </c>
      <c r="R102" s="16">
        <f t="shared" si="230"/>
        <v>0</v>
      </c>
      <c r="S102" s="15">
        <f t="shared" si="231"/>
        <v>0</v>
      </c>
      <c r="T102" s="34"/>
      <c r="U102" s="16">
        <f t="shared" si="232"/>
        <v>0</v>
      </c>
      <c r="V102" s="16">
        <f>+R102+T102</f>
        <v>0</v>
      </c>
      <c r="W102" s="16">
        <f t="shared" si="233"/>
        <v>0</v>
      </c>
      <c r="X102" s="34"/>
      <c r="Y102" s="16">
        <f t="shared" si="234"/>
        <v>0</v>
      </c>
      <c r="Z102" s="16">
        <f t="shared" si="235"/>
        <v>0</v>
      </c>
      <c r="AA102" s="16">
        <f t="shared" si="236"/>
        <v>0</v>
      </c>
      <c r="AB102" s="16">
        <f t="shared" si="237"/>
        <v>0</v>
      </c>
      <c r="AC102" s="16">
        <f t="shared" si="238"/>
        <v>0</v>
      </c>
      <c r="AD102" s="43" t="e">
        <f t="shared" si="239"/>
        <v>#DIV/0!</v>
      </c>
    </row>
    <row r="103" spans="1:30" s="36" customFormat="1" ht="26.1" outlineLevel="1">
      <c r="A103" s="69" t="s">
        <v>128</v>
      </c>
      <c r="B103" s="26"/>
      <c r="C103" s="34"/>
      <c r="D103" s="34"/>
      <c r="E103" s="34"/>
      <c r="F103" s="34"/>
      <c r="G103" s="34"/>
      <c r="H103" s="26" t="s">
        <v>88</v>
      </c>
      <c r="I103" s="34">
        <v>1</v>
      </c>
      <c r="J103" s="34">
        <v>12500000</v>
      </c>
      <c r="K103" s="34">
        <f t="shared" si="227"/>
        <v>19056.127154676298</v>
      </c>
      <c r="L103" s="34">
        <f t="shared" si="242"/>
        <v>12500000</v>
      </c>
      <c r="M103" s="34">
        <f t="shared" si="243"/>
        <v>19056.127154676298</v>
      </c>
      <c r="N103" s="34"/>
      <c r="O103" s="16">
        <f t="shared" si="228"/>
        <v>0</v>
      </c>
      <c r="P103" s="34">
        <v>12000000</v>
      </c>
      <c r="Q103" s="16">
        <f t="shared" si="229"/>
        <v>18293.882068489245</v>
      </c>
      <c r="R103" s="16">
        <f t="shared" si="230"/>
        <v>12000000</v>
      </c>
      <c r="S103" s="15">
        <f t="shared" si="231"/>
        <v>18293.882068489245</v>
      </c>
      <c r="T103" s="34"/>
      <c r="U103" s="16">
        <f t="shared" si="232"/>
        <v>0</v>
      </c>
      <c r="V103" s="16">
        <f>+R103+T103</f>
        <v>12000000</v>
      </c>
      <c r="W103" s="16">
        <f t="shared" si="233"/>
        <v>18293.882068489245</v>
      </c>
      <c r="X103" s="34"/>
      <c r="Y103" s="16">
        <f t="shared" si="234"/>
        <v>0</v>
      </c>
      <c r="Z103" s="16">
        <f t="shared" si="235"/>
        <v>12000000</v>
      </c>
      <c r="AA103" s="16">
        <f t="shared" si="236"/>
        <v>18293.882068489245</v>
      </c>
      <c r="AB103" s="16">
        <f t="shared" si="237"/>
        <v>500000</v>
      </c>
      <c r="AC103" s="16">
        <f t="shared" si="238"/>
        <v>762.24508618705192</v>
      </c>
      <c r="AD103" s="43">
        <f t="shared" si="239"/>
        <v>0.96</v>
      </c>
    </row>
    <row r="104" spans="1:30" s="36" customFormat="1" ht="26.1" outlineLevel="1">
      <c r="A104" s="69" t="s">
        <v>129</v>
      </c>
      <c r="B104" s="26"/>
      <c r="C104" s="34"/>
      <c r="D104" s="34"/>
      <c r="E104" s="34"/>
      <c r="F104" s="34"/>
      <c r="G104" s="34"/>
      <c r="H104" s="26" t="s">
        <v>88</v>
      </c>
      <c r="I104" s="34">
        <v>1</v>
      </c>
      <c r="J104" s="34">
        <v>7000000</v>
      </c>
      <c r="K104" s="34">
        <f t="shared" si="227"/>
        <v>10671.431206618727</v>
      </c>
      <c r="L104" s="34">
        <f>I104*J104</f>
        <v>7000000</v>
      </c>
      <c r="M104" s="34">
        <f t="shared" si="243"/>
        <v>10671.431206618727</v>
      </c>
      <c r="N104" s="34"/>
      <c r="O104" s="16">
        <f t="shared" si="228"/>
        <v>0</v>
      </c>
      <c r="P104" s="34">
        <v>1753500</v>
      </c>
      <c r="Q104" s="16">
        <f t="shared" si="229"/>
        <v>2673.1935172579911</v>
      </c>
      <c r="R104" s="16">
        <f t="shared" si="230"/>
        <v>1753500</v>
      </c>
      <c r="S104" s="15">
        <f t="shared" si="231"/>
        <v>2673.1935172579911</v>
      </c>
      <c r="T104" s="34"/>
      <c r="U104" s="16">
        <f t="shared" si="232"/>
        <v>0</v>
      </c>
      <c r="V104" s="16">
        <f>+R104+T104</f>
        <v>1753500</v>
      </c>
      <c r="W104" s="16">
        <f t="shared" si="233"/>
        <v>2673.1935172579911</v>
      </c>
      <c r="X104" s="34"/>
      <c r="Y104" s="16">
        <f t="shared" si="234"/>
        <v>0</v>
      </c>
      <c r="Z104" s="16">
        <f t="shared" si="235"/>
        <v>1753500</v>
      </c>
      <c r="AA104" s="16">
        <f t="shared" si="236"/>
        <v>2673.1935172579911</v>
      </c>
      <c r="AB104" s="16">
        <f t="shared" si="237"/>
        <v>5246500</v>
      </c>
      <c r="AC104" s="16">
        <f t="shared" si="238"/>
        <v>7998.2376893607352</v>
      </c>
      <c r="AD104" s="43">
        <f t="shared" si="239"/>
        <v>0.2505</v>
      </c>
    </row>
    <row r="105" spans="1:30" s="31" customFormat="1" ht="27.6" customHeight="1">
      <c r="A105" s="56" t="s">
        <v>130</v>
      </c>
      <c r="B105" s="29"/>
      <c r="C105" s="30"/>
      <c r="D105" s="30"/>
      <c r="E105" s="30"/>
      <c r="F105" s="30"/>
      <c r="G105" s="30"/>
      <c r="H105" s="29" t="s">
        <v>88</v>
      </c>
      <c r="I105" s="30"/>
      <c r="J105" s="30"/>
      <c r="K105" s="30">
        <f t="shared" si="227"/>
        <v>0</v>
      </c>
      <c r="L105" s="30">
        <f t="shared" ref="L105:S105" si="244">SUM(L106:L108)</f>
        <v>0</v>
      </c>
      <c r="M105" s="30">
        <f t="shared" si="244"/>
        <v>0</v>
      </c>
      <c r="N105" s="30">
        <f t="shared" si="244"/>
        <v>0</v>
      </c>
      <c r="O105" s="30">
        <f t="shared" si="244"/>
        <v>0</v>
      </c>
      <c r="P105" s="30">
        <f t="shared" si="244"/>
        <v>0</v>
      </c>
      <c r="Q105" s="30">
        <f t="shared" si="244"/>
        <v>0</v>
      </c>
      <c r="R105" s="30">
        <f t="shared" si="244"/>
        <v>0</v>
      </c>
      <c r="S105" s="30">
        <f t="shared" si="244"/>
        <v>0</v>
      </c>
      <c r="T105" s="30">
        <f t="shared" ref="T105:W105" si="245">SUM(T106:T108)</f>
        <v>0</v>
      </c>
      <c r="U105" s="30">
        <f t="shared" si="245"/>
        <v>0</v>
      </c>
      <c r="V105" s="30">
        <f t="shared" si="245"/>
        <v>0</v>
      </c>
      <c r="W105" s="30">
        <f t="shared" si="245"/>
        <v>0</v>
      </c>
      <c r="X105" s="30">
        <f>SUM(X106:X108)</f>
        <v>0</v>
      </c>
      <c r="Y105" s="16">
        <f t="shared" si="234"/>
        <v>0</v>
      </c>
      <c r="Z105" s="16">
        <f t="shared" si="235"/>
        <v>0</v>
      </c>
      <c r="AA105" s="16">
        <f t="shared" si="236"/>
        <v>0</v>
      </c>
      <c r="AB105" s="16">
        <f t="shared" si="237"/>
        <v>0</v>
      </c>
      <c r="AC105" s="30">
        <f>SUM(AC106:AC108)</f>
        <v>0</v>
      </c>
      <c r="AD105" s="43" t="e">
        <f t="shared" si="239"/>
        <v>#DIV/0!</v>
      </c>
    </row>
    <row r="106" spans="1:30" s="36" customFormat="1" ht="26.1" outlineLevel="1">
      <c r="A106" s="69" t="s">
        <v>131</v>
      </c>
      <c r="B106" s="26"/>
      <c r="C106" s="34"/>
      <c r="D106" s="34"/>
      <c r="E106" s="34"/>
      <c r="F106" s="34"/>
      <c r="G106" s="34"/>
      <c r="H106" s="26" t="s">
        <v>88</v>
      </c>
      <c r="I106" s="34">
        <v>0</v>
      </c>
      <c r="J106" s="34">
        <v>8000000</v>
      </c>
      <c r="K106" s="34">
        <f t="shared" si="227"/>
        <v>12195.921378992831</v>
      </c>
      <c r="L106" s="34">
        <f t="shared" ref="L106:L108" si="246">I106*J106</f>
        <v>0</v>
      </c>
      <c r="M106" s="34">
        <f t="shared" si="243"/>
        <v>0</v>
      </c>
      <c r="N106" s="34"/>
      <c r="O106" s="16">
        <f t="shared" si="228"/>
        <v>0</v>
      </c>
      <c r="P106" s="34"/>
      <c r="Q106" s="16">
        <f t="shared" si="229"/>
        <v>0</v>
      </c>
      <c r="R106" s="16">
        <f t="shared" si="230"/>
        <v>0</v>
      </c>
      <c r="S106" s="15">
        <f t="shared" si="231"/>
        <v>0</v>
      </c>
      <c r="T106" s="34"/>
      <c r="U106" s="16">
        <f t="shared" si="232"/>
        <v>0</v>
      </c>
      <c r="V106" s="16">
        <f>+R106+T106</f>
        <v>0</v>
      </c>
      <c r="W106" s="16">
        <f t="shared" si="233"/>
        <v>0</v>
      </c>
      <c r="X106" s="34"/>
      <c r="Y106" s="16">
        <f t="shared" si="234"/>
        <v>0</v>
      </c>
      <c r="Z106" s="16">
        <f t="shared" si="235"/>
        <v>0</v>
      </c>
      <c r="AA106" s="16">
        <f t="shared" si="236"/>
        <v>0</v>
      </c>
      <c r="AB106" s="16">
        <f t="shared" si="237"/>
        <v>0</v>
      </c>
      <c r="AC106" s="16">
        <f t="shared" si="238"/>
        <v>0</v>
      </c>
      <c r="AD106" s="43" t="e">
        <f t="shared" si="239"/>
        <v>#DIV/0!</v>
      </c>
    </row>
    <row r="107" spans="1:30" s="36" customFormat="1" ht="51.95" outlineLevel="1">
      <c r="A107" s="69" t="s">
        <v>132</v>
      </c>
      <c r="B107" s="26"/>
      <c r="C107" s="34"/>
      <c r="D107" s="34"/>
      <c r="E107" s="34"/>
      <c r="F107" s="34"/>
      <c r="G107" s="34"/>
      <c r="H107" s="26" t="s">
        <v>88</v>
      </c>
      <c r="I107" s="34">
        <v>0</v>
      </c>
      <c r="J107" s="34">
        <v>2200000</v>
      </c>
      <c r="K107" s="34">
        <f t="shared" si="227"/>
        <v>3353.8783792230283</v>
      </c>
      <c r="L107" s="34">
        <f t="shared" si="246"/>
        <v>0</v>
      </c>
      <c r="M107" s="34">
        <f t="shared" si="243"/>
        <v>0</v>
      </c>
      <c r="N107" s="34"/>
      <c r="O107" s="16">
        <f t="shared" si="228"/>
        <v>0</v>
      </c>
      <c r="P107" s="34"/>
      <c r="Q107" s="16">
        <f t="shared" si="229"/>
        <v>0</v>
      </c>
      <c r="R107" s="16">
        <f t="shared" si="230"/>
        <v>0</v>
      </c>
      <c r="S107" s="15">
        <f t="shared" si="231"/>
        <v>0</v>
      </c>
      <c r="T107" s="34"/>
      <c r="U107" s="16">
        <f t="shared" si="232"/>
        <v>0</v>
      </c>
      <c r="V107" s="16">
        <f>+R107+T107</f>
        <v>0</v>
      </c>
      <c r="W107" s="16">
        <f t="shared" si="233"/>
        <v>0</v>
      </c>
      <c r="X107" s="34"/>
      <c r="Y107" s="16">
        <f t="shared" si="234"/>
        <v>0</v>
      </c>
      <c r="Z107" s="16">
        <f t="shared" si="235"/>
        <v>0</v>
      </c>
      <c r="AA107" s="16">
        <f t="shared" si="236"/>
        <v>0</v>
      </c>
      <c r="AB107" s="16">
        <f t="shared" si="237"/>
        <v>0</v>
      </c>
      <c r="AC107" s="16">
        <f t="shared" si="238"/>
        <v>0</v>
      </c>
      <c r="AD107" s="43" t="e">
        <f t="shared" si="239"/>
        <v>#DIV/0!</v>
      </c>
    </row>
    <row r="108" spans="1:30" s="36" customFormat="1" ht="26.1" outlineLevel="1">
      <c r="A108" s="69" t="s">
        <v>133</v>
      </c>
      <c r="B108" s="26"/>
      <c r="C108" s="34"/>
      <c r="D108" s="34"/>
      <c r="E108" s="34"/>
      <c r="F108" s="34"/>
      <c r="G108" s="34"/>
      <c r="H108" s="26" t="s">
        <v>88</v>
      </c>
      <c r="I108" s="34">
        <v>0</v>
      </c>
      <c r="J108" s="34">
        <v>3224028.6549999998</v>
      </c>
      <c r="K108" s="34">
        <v>4915</v>
      </c>
      <c r="L108" s="34">
        <f t="shared" si="246"/>
        <v>0</v>
      </c>
      <c r="M108" s="34">
        <f t="shared" si="243"/>
        <v>0</v>
      </c>
      <c r="N108" s="34"/>
      <c r="O108" s="16">
        <f t="shared" si="228"/>
        <v>0</v>
      </c>
      <c r="P108" s="34"/>
      <c r="Q108" s="16">
        <f t="shared" si="229"/>
        <v>0</v>
      </c>
      <c r="R108" s="16">
        <f t="shared" si="230"/>
        <v>0</v>
      </c>
      <c r="S108" s="15">
        <f t="shared" si="231"/>
        <v>0</v>
      </c>
      <c r="T108" s="34"/>
      <c r="U108" s="16">
        <f t="shared" si="232"/>
        <v>0</v>
      </c>
      <c r="V108" s="16">
        <f>+R108+T108</f>
        <v>0</v>
      </c>
      <c r="W108" s="16">
        <f t="shared" si="233"/>
        <v>0</v>
      </c>
      <c r="X108" s="34"/>
      <c r="Y108" s="16">
        <f t="shared" si="234"/>
        <v>0</v>
      </c>
      <c r="Z108" s="16">
        <f t="shared" si="235"/>
        <v>0</v>
      </c>
      <c r="AA108" s="16">
        <f t="shared" si="236"/>
        <v>0</v>
      </c>
      <c r="AB108" s="16">
        <f t="shared" si="237"/>
        <v>0</v>
      </c>
      <c r="AC108" s="16">
        <f t="shared" si="238"/>
        <v>0</v>
      </c>
      <c r="AD108" s="43" t="e">
        <f t="shared" si="239"/>
        <v>#DIV/0!</v>
      </c>
    </row>
    <row r="109" spans="1:30" s="31" customFormat="1" ht="27.6" customHeight="1">
      <c r="A109" s="56" t="s">
        <v>134</v>
      </c>
      <c r="B109" s="29"/>
      <c r="C109" s="30"/>
      <c r="D109" s="30"/>
      <c r="E109" s="30"/>
      <c r="F109" s="30"/>
      <c r="G109" s="30"/>
      <c r="H109" s="29" t="s">
        <v>88</v>
      </c>
      <c r="I109" s="30">
        <v>2</v>
      </c>
      <c r="J109" s="30">
        <v>20000000</v>
      </c>
      <c r="K109" s="30">
        <f>J109/$B$2</f>
        <v>30489.803447482078</v>
      </c>
      <c r="L109" s="30">
        <f>I109*J109</f>
        <v>40000000</v>
      </c>
      <c r="M109" s="30">
        <f>+L109/655.957</f>
        <v>60979.606894964156</v>
      </c>
      <c r="N109" s="30"/>
      <c r="O109" s="13">
        <f t="shared" ref="O109:O113" si="247">+N109/655.957</f>
        <v>0</v>
      </c>
      <c r="P109" s="30"/>
      <c r="Q109" s="13">
        <f t="shared" ref="Q109:Q113" si="248">+P109/655.957</f>
        <v>0</v>
      </c>
      <c r="R109" s="13">
        <f t="shared" ref="R109:R113" si="249">N109+P109</f>
        <v>0</v>
      </c>
      <c r="S109" s="12">
        <f t="shared" ref="S109:S113" si="250">+R109/655.957</f>
        <v>0</v>
      </c>
      <c r="T109" s="30">
        <f>18277746+820000</f>
        <v>19097746</v>
      </c>
      <c r="U109" s="13">
        <f t="shared" ref="U109:U113" si="251">+T109/655.957</f>
        <v>29114.326091496852</v>
      </c>
      <c r="V109" s="13">
        <f>+R109+T109</f>
        <v>19097746</v>
      </c>
      <c r="W109" s="13">
        <f t="shared" ref="W109:W116" si="252">+V109/655.957</f>
        <v>29114.326091496852</v>
      </c>
      <c r="X109" s="30">
        <v>20969623</v>
      </c>
      <c r="Y109" s="16">
        <f t="shared" si="234"/>
        <v>31967.984181889973</v>
      </c>
      <c r="Z109" s="16">
        <f t="shared" si="235"/>
        <v>40067369</v>
      </c>
      <c r="AA109" s="16">
        <f t="shared" si="236"/>
        <v>61082.310273386822</v>
      </c>
      <c r="AB109" s="16">
        <f t="shared" si="237"/>
        <v>-67369</v>
      </c>
      <c r="AC109" s="13">
        <f t="shared" ref="AC109" si="253">+AB109/655.957</f>
        <v>-102.70337842267099</v>
      </c>
      <c r="AD109" s="43">
        <f t="shared" si="239"/>
        <v>1.001684225</v>
      </c>
    </row>
    <row r="110" spans="1:30" s="31" customFormat="1" ht="47.45" customHeight="1" collapsed="1">
      <c r="A110" s="56" t="s">
        <v>135</v>
      </c>
      <c r="B110" s="29"/>
      <c r="C110" s="30"/>
      <c r="D110" s="30"/>
      <c r="E110" s="30"/>
      <c r="F110" s="30"/>
      <c r="G110" s="30"/>
      <c r="H110" s="29" t="s">
        <v>88</v>
      </c>
      <c r="I110" s="30"/>
      <c r="J110" s="30"/>
      <c r="K110" s="30"/>
      <c r="L110" s="30">
        <f t="shared" ref="L110:S110" si="254">SUM(L111:L113)</f>
        <v>40000000</v>
      </c>
      <c r="M110" s="30">
        <f t="shared" si="254"/>
        <v>60979.606894964149</v>
      </c>
      <c r="N110" s="30">
        <f t="shared" si="254"/>
        <v>0</v>
      </c>
      <c r="O110" s="30">
        <f t="shared" si="254"/>
        <v>0</v>
      </c>
      <c r="P110" s="30">
        <f t="shared" si="254"/>
        <v>0</v>
      </c>
      <c r="Q110" s="30">
        <f t="shared" si="254"/>
        <v>0</v>
      </c>
      <c r="R110" s="30">
        <f t="shared" si="254"/>
        <v>0</v>
      </c>
      <c r="S110" s="30">
        <f t="shared" si="254"/>
        <v>0</v>
      </c>
      <c r="T110" s="30">
        <f t="shared" ref="T110:W110" si="255">SUM(T111:T113)</f>
        <v>17622981</v>
      </c>
      <c r="U110" s="30">
        <f t="shared" si="255"/>
        <v>26866.061342435558</v>
      </c>
      <c r="V110" s="30">
        <f t="shared" si="255"/>
        <v>17622981</v>
      </c>
      <c r="W110" s="30">
        <f t="shared" si="255"/>
        <v>26866.061342435558</v>
      </c>
      <c r="X110" s="30">
        <f>SUM(X111:X113)</f>
        <v>12455828</v>
      </c>
      <c r="Y110" s="16">
        <f t="shared" si="234"/>
        <v>18988.78737478219</v>
      </c>
      <c r="Z110" s="16">
        <f t="shared" si="235"/>
        <v>30078809</v>
      </c>
      <c r="AA110" s="16">
        <f t="shared" si="236"/>
        <v>45854.848717217748</v>
      </c>
      <c r="AB110" s="16">
        <f t="shared" si="237"/>
        <v>9921191</v>
      </c>
      <c r="AC110" s="30">
        <f>SUM(AC111:AC113)</f>
        <v>15124.758177746407</v>
      </c>
      <c r="AD110" s="43">
        <f t="shared" si="239"/>
        <v>0.75197022499999999</v>
      </c>
    </row>
    <row r="111" spans="1:30" s="36" customFormat="1" outlineLevel="1">
      <c r="A111" s="69" t="s">
        <v>136</v>
      </c>
      <c r="B111" s="26"/>
      <c r="C111" s="34"/>
      <c r="D111" s="34"/>
      <c r="E111" s="34"/>
      <c r="F111" s="34"/>
      <c r="G111" s="34"/>
      <c r="H111" s="26" t="s">
        <v>88</v>
      </c>
      <c r="I111" s="34">
        <v>1</v>
      </c>
      <c r="J111" s="34">
        <v>8000000</v>
      </c>
      <c r="K111" s="34">
        <f>J111/$B$2</f>
        <v>12195.921378992831</v>
      </c>
      <c r="L111" s="34">
        <f>I111*J111</f>
        <v>8000000</v>
      </c>
      <c r="M111" s="34">
        <f>+L111/655.957</f>
        <v>12195.921378992831</v>
      </c>
      <c r="N111" s="34"/>
      <c r="O111" s="16">
        <f t="shared" si="247"/>
        <v>0</v>
      </c>
      <c r="P111" s="34"/>
      <c r="Q111" s="16">
        <f t="shared" si="248"/>
        <v>0</v>
      </c>
      <c r="R111" s="16">
        <f t="shared" si="249"/>
        <v>0</v>
      </c>
      <c r="S111" s="15">
        <f t="shared" si="250"/>
        <v>0</v>
      </c>
      <c r="T111" s="34">
        <v>8058981</v>
      </c>
      <c r="U111" s="16">
        <f t="shared" si="251"/>
        <v>12285.837333849628</v>
      </c>
      <c r="V111" s="16">
        <f>+R111+T111</f>
        <v>8058981</v>
      </c>
      <c r="W111" s="16">
        <f t="shared" si="252"/>
        <v>12285.837333849628</v>
      </c>
      <c r="X111" s="34">
        <f>2880000+2683000</f>
        <v>5563000</v>
      </c>
      <c r="Y111" s="16">
        <f t="shared" si="234"/>
        <v>8480.7388289171395</v>
      </c>
      <c r="Z111" s="16">
        <f t="shared" si="235"/>
        <v>13621981</v>
      </c>
      <c r="AA111" s="16">
        <f t="shared" si="236"/>
        <v>20766.576162766767</v>
      </c>
      <c r="AB111" s="16">
        <f t="shared" si="237"/>
        <v>-5621981</v>
      </c>
      <c r="AC111" s="16">
        <f t="shared" ref="AC111" si="256">+AB111/655.957</f>
        <v>-8570.6547837739363</v>
      </c>
      <c r="AD111" s="43">
        <f t="shared" si="239"/>
        <v>1.702747625</v>
      </c>
    </row>
    <row r="112" spans="1:30" s="36" customFormat="1" ht="26.1" outlineLevel="1">
      <c r="A112" s="69" t="s">
        <v>137</v>
      </c>
      <c r="B112" s="26"/>
      <c r="C112" s="34"/>
      <c r="D112" s="34"/>
      <c r="E112" s="34"/>
      <c r="F112" s="34"/>
      <c r="G112" s="34"/>
      <c r="H112" s="26" t="s">
        <v>88</v>
      </c>
      <c r="I112" s="34">
        <v>2</v>
      </c>
      <c r="J112" s="34">
        <v>6000000</v>
      </c>
      <c r="K112" s="34">
        <f>J112/$B$2</f>
        <v>9146.9410342446226</v>
      </c>
      <c r="L112" s="34">
        <f t="shared" ref="L112:L113" si="257">I112*J112</f>
        <v>12000000</v>
      </c>
      <c r="M112" s="34">
        <f t="shared" ref="M112:M113" si="258">+L112/655.957</f>
        <v>18293.882068489245</v>
      </c>
      <c r="N112" s="34"/>
      <c r="O112" s="16">
        <f t="shared" si="247"/>
        <v>0</v>
      </c>
      <c r="P112" s="34"/>
      <c r="Q112" s="16">
        <f t="shared" si="248"/>
        <v>0</v>
      </c>
      <c r="R112" s="16">
        <f t="shared" si="249"/>
        <v>0</v>
      </c>
      <c r="S112" s="15">
        <f t="shared" si="250"/>
        <v>0</v>
      </c>
      <c r="T112" s="34">
        <v>4728000</v>
      </c>
      <c r="U112" s="16">
        <f t="shared" si="251"/>
        <v>7207.7895349847631</v>
      </c>
      <c r="V112" s="16">
        <f>+R112+T112</f>
        <v>4728000</v>
      </c>
      <c r="W112" s="16">
        <f t="shared" si="252"/>
        <v>7207.7895349847631</v>
      </c>
      <c r="X112" s="34">
        <v>2921000</v>
      </c>
      <c r="Y112" s="16">
        <f t="shared" si="234"/>
        <v>4453.0357935047568</v>
      </c>
      <c r="Z112" s="16">
        <f t="shared" si="235"/>
        <v>7649000</v>
      </c>
      <c r="AA112" s="16">
        <f t="shared" si="236"/>
        <v>11660.82532848952</v>
      </c>
      <c r="AB112" s="16">
        <f t="shared" si="237"/>
        <v>4351000</v>
      </c>
      <c r="AC112" s="16">
        <f t="shared" ref="AC112" si="259">+AB112/655.957</f>
        <v>6633.0567399997253</v>
      </c>
      <c r="AD112" s="43">
        <f t="shared" si="239"/>
        <v>0.63741666666666663</v>
      </c>
    </row>
    <row r="113" spans="1:30 16373:16373" s="36" customFormat="1" ht="26.1" outlineLevel="1">
      <c r="A113" s="69" t="s">
        <v>138</v>
      </c>
      <c r="B113" s="26"/>
      <c r="C113" s="34"/>
      <c r="D113" s="34"/>
      <c r="E113" s="34"/>
      <c r="F113" s="34"/>
      <c r="G113" s="34"/>
      <c r="H113" s="26" t="s">
        <v>88</v>
      </c>
      <c r="I113" s="25">
        <v>4</v>
      </c>
      <c r="J113" s="34">
        <v>5000000</v>
      </c>
      <c r="K113" s="34">
        <f>J113/$B$2</f>
        <v>7622.4508618705195</v>
      </c>
      <c r="L113" s="34">
        <f t="shared" si="257"/>
        <v>20000000</v>
      </c>
      <c r="M113" s="34">
        <f t="shared" si="258"/>
        <v>30489.803447482078</v>
      </c>
      <c r="N113" s="34"/>
      <c r="O113" s="16">
        <f t="shared" si="247"/>
        <v>0</v>
      </c>
      <c r="P113" s="34"/>
      <c r="Q113" s="16">
        <f t="shared" si="248"/>
        <v>0</v>
      </c>
      <c r="R113" s="16">
        <f t="shared" si="249"/>
        <v>0</v>
      </c>
      <c r="S113" s="15">
        <f t="shared" si="250"/>
        <v>0</v>
      </c>
      <c r="T113" s="34">
        <v>4836000</v>
      </c>
      <c r="U113" s="16">
        <f t="shared" si="251"/>
        <v>7372.4344736011662</v>
      </c>
      <c r="V113" s="16">
        <f>+R113+T113</f>
        <v>4836000</v>
      </c>
      <c r="W113" s="16">
        <f t="shared" si="252"/>
        <v>7372.4344736011662</v>
      </c>
      <c r="X113" s="34">
        <v>3971828</v>
      </c>
      <c r="Y113" s="16">
        <f t="shared" si="234"/>
        <v>6055.0127523602923</v>
      </c>
      <c r="Z113" s="16">
        <f t="shared" si="235"/>
        <v>8807828</v>
      </c>
      <c r="AA113" s="16">
        <f t="shared" si="236"/>
        <v>13427.447225961458</v>
      </c>
      <c r="AB113" s="16">
        <f t="shared" si="237"/>
        <v>11192172</v>
      </c>
      <c r="AC113" s="16">
        <f t="shared" ref="AC113:AC116" si="260">+AB113/655.957</f>
        <v>17062.356221520618</v>
      </c>
      <c r="AD113" s="43">
        <f t="shared" si="239"/>
        <v>0.44039139999999999</v>
      </c>
    </row>
    <row r="114" spans="1:30 16373:16373" s="31" customFormat="1" ht="39">
      <c r="A114" s="56" t="s">
        <v>139</v>
      </c>
      <c r="B114" s="29"/>
      <c r="C114" s="30"/>
      <c r="D114" s="30"/>
      <c r="E114" s="30"/>
      <c r="F114" s="30"/>
      <c r="G114" s="30"/>
      <c r="H114" s="29"/>
      <c r="I114" s="30"/>
      <c r="J114" s="30"/>
      <c r="K114" s="30"/>
      <c r="L114" s="30">
        <f t="shared" ref="L114:S114" si="261">SUM(L115:L116)</f>
        <v>7500000</v>
      </c>
      <c r="M114" s="30">
        <f t="shared" si="261"/>
        <v>11433.676292805778</v>
      </c>
      <c r="N114" s="30">
        <f t="shared" si="261"/>
        <v>0</v>
      </c>
      <c r="O114" s="30">
        <f t="shared" si="261"/>
        <v>0</v>
      </c>
      <c r="P114" s="30">
        <f t="shared" si="261"/>
        <v>0</v>
      </c>
      <c r="Q114" s="30">
        <f t="shared" si="261"/>
        <v>0</v>
      </c>
      <c r="R114" s="30">
        <f t="shared" si="261"/>
        <v>0</v>
      </c>
      <c r="S114" s="30">
        <f t="shared" si="261"/>
        <v>0</v>
      </c>
      <c r="T114" s="30">
        <f t="shared" ref="T114:W114" si="262">SUM(T115:T116)</f>
        <v>0</v>
      </c>
      <c r="U114" s="30">
        <f t="shared" si="262"/>
        <v>0</v>
      </c>
      <c r="V114" s="30">
        <f t="shared" si="262"/>
        <v>0</v>
      </c>
      <c r="W114" s="30">
        <f t="shared" si="262"/>
        <v>0</v>
      </c>
      <c r="X114" s="30">
        <f>+X115+X116</f>
        <v>7130000</v>
      </c>
      <c r="Y114" s="16">
        <f t="shared" si="234"/>
        <v>10869.614929027361</v>
      </c>
      <c r="Z114" s="16">
        <f t="shared" si="235"/>
        <v>7130000</v>
      </c>
      <c r="AA114" s="16">
        <f t="shared" si="236"/>
        <v>10869.614929027361</v>
      </c>
      <c r="AB114" s="16">
        <f t="shared" si="237"/>
        <v>370000</v>
      </c>
      <c r="AC114" s="30">
        <f>SUM(AC115:AC116)</f>
        <v>11433.676292805778</v>
      </c>
      <c r="AD114" s="43">
        <f t="shared" si="239"/>
        <v>0.95066666666666666</v>
      </c>
    </row>
    <row r="115" spans="1:30 16373:16373" s="6" customFormat="1" outlineLevel="1">
      <c r="A115" s="70" t="s">
        <v>140</v>
      </c>
      <c r="B115" s="15"/>
      <c r="C115" s="25"/>
      <c r="D115" s="38"/>
      <c r="E115" s="38"/>
      <c r="F115" s="38"/>
      <c r="G115" s="38"/>
      <c r="H115" s="15" t="s">
        <v>88</v>
      </c>
      <c r="I115" s="25">
        <v>1</v>
      </c>
      <c r="J115" s="38">
        <v>500000</v>
      </c>
      <c r="K115" s="34">
        <f>J115/$B$2</f>
        <v>762.24508618705192</v>
      </c>
      <c r="L115" s="38">
        <f t="shared" si="242"/>
        <v>500000</v>
      </c>
      <c r="M115" s="38">
        <f t="shared" si="243"/>
        <v>762.24508618705192</v>
      </c>
      <c r="N115" s="34"/>
      <c r="O115" s="16">
        <f t="shared" ref="O115:O116" si="263">+N115/655.957</f>
        <v>0</v>
      </c>
      <c r="P115" s="34"/>
      <c r="Q115" s="16">
        <f t="shared" ref="Q115:Q116" si="264">+P115/655.957</f>
        <v>0</v>
      </c>
      <c r="R115" s="16">
        <f t="shared" ref="R115:R116" si="265">N115+P115</f>
        <v>0</v>
      </c>
      <c r="S115" s="15">
        <f t="shared" ref="S115:S116" si="266">+R115/655.957</f>
        <v>0</v>
      </c>
      <c r="T115" s="38"/>
      <c r="U115" s="38"/>
      <c r="V115" s="16">
        <f>+R115+T115</f>
        <v>0</v>
      </c>
      <c r="W115" s="16">
        <f t="shared" si="252"/>
        <v>0</v>
      </c>
      <c r="X115" s="38">
        <v>480000</v>
      </c>
      <c r="Y115" s="16"/>
      <c r="Z115" s="16"/>
      <c r="AA115" s="16"/>
      <c r="AB115" s="16">
        <f t="shared" si="237"/>
        <v>500000</v>
      </c>
      <c r="AC115" s="16">
        <f t="shared" si="260"/>
        <v>762.24508618705192</v>
      </c>
      <c r="AD115" s="43">
        <f t="shared" si="239"/>
        <v>0</v>
      </c>
    </row>
    <row r="116" spans="1:30 16373:16373" s="36" customFormat="1" ht="26.1" outlineLevel="1">
      <c r="A116" s="69" t="s">
        <v>141</v>
      </c>
      <c r="B116" s="26"/>
      <c r="C116" s="34"/>
      <c r="D116" s="34"/>
      <c r="E116" s="34"/>
      <c r="F116" s="34"/>
      <c r="G116" s="34"/>
      <c r="H116" s="26" t="s">
        <v>88</v>
      </c>
      <c r="I116" s="34">
        <v>1</v>
      </c>
      <c r="J116" s="34">
        <v>7000000</v>
      </c>
      <c r="K116" s="34">
        <f>J116/$B$2</f>
        <v>10671.431206618727</v>
      </c>
      <c r="L116" s="34">
        <f t="shared" si="242"/>
        <v>7000000</v>
      </c>
      <c r="M116" s="34">
        <f t="shared" si="243"/>
        <v>10671.431206618727</v>
      </c>
      <c r="N116" s="34"/>
      <c r="O116" s="16">
        <f t="shared" si="263"/>
        <v>0</v>
      </c>
      <c r="P116" s="34"/>
      <c r="Q116" s="16">
        <f t="shared" si="264"/>
        <v>0</v>
      </c>
      <c r="R116" s="16">
        <f t="shared" si="265"/>
        <v>0</v>
      </c>
      <c r="S116" s="15">
        <f t="shared" si="266"/>
        <v>0</v>
      </c>
      <c r="T116" s="34"/>
      <c r="U116" s="34"/>
      <c r="V116" s="16">
        <f>+R116+T116</f>
        <v>0</v>
      </c>
      <c r="W116" s="16">
        <f t="shared" si="252"/>
        <v>0</v>
      </c>
      <c r="X116" s="34">
        <f>3500000+3150000</f>
        <v>6650000</v>
      </c>
      <c r="Y116" s="16"/>
      <c r="Z116" s="16"/>
      <c r="AA116" s="16"/>
      <c r="AB116" s="16">
        <f t="shared" si="237"/>
        <v>7000000</v>
      </c>
      <c r="AC116" s="16">
        <f t="shared" si="260"/>
        <v>10671.431206618727</v>
      </c>
      <c r="AD116" s="43">
        <f t="shared" si="239"/>
        <v>0</v>
      </c>
    </row>
    <row r="117" spans="1:30 16373:16373" ht="27.6" customHeight="1">
      <c r="A117" s="68" t="s">
        <v>142</v>
      </c>
      <c r="B117" s="194"/>
      <c r="C117" s="194"/>
      <c r="D117" s="194"/>
      <c r="E117" s="18">
        <f>SUM(E99:E101)</f>
        <v>113501</v>
      </c>
      <c r="F117" s="18">
        <f>+E117*655.957</f>
        <v>74451775.457000002</v>
      </c>
      <c r="G117" s="19">
        <f>F117/$F$159</f>
        <v>0.10402140958120841</v>
      </c>
      <c r="H117" s="194"/>
      <c r="I117" s="195"/>
      <c r="J117" s="195"/>
      <c r="K117" s="17"/>
      <c r="L117" s="18">
        <f t="shared" ref="L117:S117" si="267">L99+L100+L101+L105+L109+L110+L114</f>
        <v>124700000</v>
      </c>
      <c r="M117" s="18">
        <f t="shared" si="267"/>
        <v>190103.92449505074</v>
      </c>
      <c r="N117" s="18">
        <f t="shared" si="267"/>
        <v>3744203</v>
      </c>
      <c r="O117" s="18">
        <f t="shared" si="267"/>
        <v>5708.0006768736366</v>
      </c>
      <c r="P117" s="18">
        <f t="shared" si="267"/>
        <v>27683512</v>
      </c>
      <c r="Q117" s="18">
        <f t="shared" si="267"/>
        <v>42203.241980800565</v>
      </c>
      <c r="R117" s="18">
        <f t="shared" si="267"/>
        <v>31427715</v>
      </c>
      <c r="S117" s="18">
        <f t="shared" si="267"/>
        <v>47911.2426576742</v>
      </c>
      <c r="T117" s="18">
        <f t="shared" ref="T117:AC117" si="268">T99+T100+T101+T105+T109+T110+T114</f>
        <v>36720727</v>
      </c>
      <c r="U117" s="18">
        <f t="shared" si="268"/>
        <v>55980.38743393241</v>
      </c>
      <c r="V117" s="18">
        <f t="shared" si="268"/>
        <v>68148442</v>
      </c>
      <c r="W117" s="18">
        <f t="shared" si="268"/>
        <v>103891.63009160661</v>
      </c>
      <c r="X117" s="18">
        <f>X99+X100+X101+X105+X109+X110+X114</f>
        <v>40555451</v>
      </c>
      <c r="Y117" s="18">
        <f t="shared" si="268"/>
        <v>61826.386485699521</v>
      </c>
      <c r="Z117" s="18">
        <f t="shared" si="268"/>
        <v>108703893</v>
      </c>
      <c r="AA117" s="18">
        <f t="shared" si="268"/>
        <v>165718.01657730612</v>
      </c>
      <c r="AB117" s="18">
        <f t="shared" si="268"/>
        <v>15996107</v>
      </c>
      <c r="AC117" s="18">
        <f t="shared" si="268"/>
        <v>35255.522846771972</v>
      </c>
      <c r="AD117" s="47"/>
    </row>
    <row r="118" spans="1:30 16373:16373" s="75" customFormat="1" ht="36.950000000000003" customHeight="1">
      <c r="A118" s="56" t="s">
        <v>143</v>
      </c>
      <c r="B118" s="12"/>
      <c r="C118" s="3"/>
      <c r="D118" s="13"/>
      <c r="E118" s="13"/>
      <c r="F118" s="13" t="s">
        <v>2</v>
      </c>
      <c r="G118" s="13"/>
      <c r="H118" s="3"/>
      <c r="I118" s="3"/>
      <c r="J118" s="13"/>
      <c r="K118" s="13"/>
      <c r="L118" s="13"/>
      <c r="M118" s="13"/>
      <c r="N118" s="13"/>
      <c r="O118" s="13"/>
      <c r="P118" s="13"/>
      <c r="Q118" s="13"/>
      <c r="R118" s="13"/>
      <c r="S118" s="3"/>
      <c r="T118" s="13"/>
      <c r="U118" s="13"/>
      <c r="V118" s="13">
        <f>+R118+T118</f>
        <v>0</v>
      </c>
      <c r="W118" s="13"/>
      <c r="X118" s="13"/>
      <c r="Y118" s="13"/>
      <c r="Z118" s="13"/>
      <c r="AA118" s="13"/>
      <c r="AB118" s="13"/>
      <c r="AC118" s="13"/>
      <c r="AD118" s="46"/>
    </row>
    <row r="119" spans="1:30 16373:16373" s="31" customFormat="1" ht="36.950000000000003" customHeight="1">
      <c r="A119" s="56" t="s">
        <v>144</v>
      </c>
      <c r="B119" s="29" t="s">
        <v>88</v>
      </c>
      <c r="C119" s="30">
        <v>8</v>
      </c>
      <c r="D119" s="30">
        <v>4573</v>
      </c>
      <c r="E119" s="30">
        <f>C119*D119</f>
        <v>36584</v>
      </c>
      <c r="F119" s="30">
        <f t="shared" si="1"/>
        <v>23997530.888</v>
      </c>
      <c r="G119" s="30"/>
      <c r="H119" s="29" t="s">
        <v>88</v>
      </c>
      <c r="I119" s="30">
        <v>1</v>
      </c>
      <c r="J119" s="30">
        <v>9600000</v>
      </c>
      <c r="K119" s="30">
        <f>J119/$B$2</f>
        <v>14635.105654791396</v>
      </c>
      <c r="L119" s="30">
        <f>I119*J119</f>
        <v>9600000</v>
      </c>
      <c r="M119" s="13">
        <f t="shared" ref="M119:M125" si="269">+L119/655.957</f>
        <v>14635.105654791396</v>
      </c>
      <c r="N119" s="13">
        <v>3104644</v>
      </c>
      <c r="O119" s="13">
        <f t="shared" ref="O119:O147" si="270">+N119/655.957</f>
        <v>4732.9992667202268</v>
      </c>
      <c r="P119" s="13">
        <v>2624630</v>
      </c>
      <c r="Q119" s="13">
        <f t="shared" ref="Q119:Q147" si="271">+P119/655.957</f>
        <v>4001.2226411182442</v>
      </c>
      <c r="R119" s="13">
        <f t="shared" ref="R119:R147" si="272">N119+P119</f>
        <v>5729274</v>
      </c>
      <c r="S119" s="12">
        <f t="shared" ref="S119:S147" si="273">+R119/655.957</f>
        <v>8734.2219078384715</v>
      </c>
      <c r="T119" s="13">
        <v>2581847</v>
      </c>
      <c r="U119" s="13">
        <f t="shared" ref="U119:U147" si="274">+T119/655.957</f>
        <v>3936.0003780735628</v>
      </c>
      <c r="V119" s="13">
        <f>+R119+T119</f>
        <v>8311121</v>
      </c>
      <c r="W119" s="13">
        <f t="shared" ref="W119:W147" si="275">+V119/655.957</f>
        <v>12670.222285912034</v>
      </c>
      <c r="X119" s="13">
        <v>0</v>
      </c>
      <c r="Y119" s="16">
        <f t="shared" ref="Y119:Y144" si="276">+X119/655.957</f>
        <v>0</v>
      </c>
      <c r="Z119" s="16">
        <f t="shared" ref="Z119:Z143" si="277">+V119+X119</f>
        <v>8311121</v>
      </c>
      <c r="AA119" s="16">
        <f t="shared" ref="AA119:AA144" si="278">+Z119/655.957</f>
        <v>12670.222285912034</v>
      </c>
      <c r="AB119" s="16">
        <f t="shared" ref="AB119:AB149" si="279">+L119-Z119</f>
        <v>1288879</v>
      </c>
      <c r="AC119" s="13">
        <f t="shared" ref="AC119" si="280">+AB119/655.957</f>
        <v>1964.8833688793625</v>
      </c>
      <c r="AD119" s="43">
        <f t="shared" ref="AD119:AD149" si="281">+Z119/L119</f>
        <v>0.86574177083333337</v>
      </c>
    </row>
    <row r="120" spans="1:30 16373:16373" s="31" customFormat="1" ht="36.950000000000003" customHeight="1">
      <c r="A120" s="56" t="s">
        <v>145</v>
      </c>
      <c r="B120" s="29"/>
      <c r="C120" s="30"/>
      <c r="D120" s="30"/>
      <c r="E120" s="30"/>
      <c r="F120" s="30"/>
      <c r="G120" s="30"/>
      <c r="H120" s="29"/>
      <c r="I120" s="30"/>
      <c r="J120" s="30"/>
      <c r="K120" s="30"/>
      <c r="L120" s="30">
        <f t="shared" ref="L120:S120" si="282">SUM(L121:L125)</f>
        <v>15000000</v>
      </c>
      <c r="M120" s="30">
        <f t="shared" si="282"/>
        <v>22867.352585611559</v>
      </c>
      <c r="N120" s="30">
        <f t="shared" si="282"/>
        <v>0</v>
      </c>
      <c r="O120" s="30">
        <f t="shared" si="282"/>
        <v>0</v>
      </c>
      <c r="P120" s="30">
        <f t="shared" si="282"/>
        <v>0</v>
      </c>
      <c r="Q120" s="30">
        <f t="shared" si="282"/>
        <v>0</v>
      </c>
      <c r="R120" s="30">
        <f t="shared" si="282"/>
        <v>0</v>
      </c>
      <c r="S120" s="30">
        <f t="shared" si="282"/>
        <v>0</v>
      </c>
      <c r="T120" s="30">
        <f t="shared" ref="T120:AC120" si="283">SUM(T121:T125)</f>
        <v>2228941.7429999998</v>
      </c>
      <c r="U120" s="30">
        <f t="shared" si="283"/>
        <v>3397.9997819979053</v>
      </c>
      <c r="V120" s="30">
        <f t="shared" si="283"/>
        <v>2228941.7429999998</v>
      </c>
      <c r="W120" s="30">
        <f t="shared" si="283"/>
        <v>3397.9997819979053</v>
      </c>
      <c r="X120" s="30">
        <f>SUM(X121:X125)</f>
        <v>10525892.059999999</v>
      </c>
      <c r="Y120" s="16">
        <f t="shared" si="276"/>
        <v>16046.619000940609</v>
      </c>
      <c r="Z120" s="16">
        <f t="shared" si="277"/>
        <v>12754833.802999999</v>
      </c>
      <c r="AA120" s="16">
        <f t="shared" si="278"/>
        <v>19444.618782938516</v>
      </c>
      <c r="AB120" s="16">
        <f t="shared" si="279"/>
        <v>2245166.1970000006</v>
      </c>
      <c r="AC120" s="30">
        <f t="shared" si="283"/>
        <v>3422.7338026730422</v>
      </c>
      <c r="AD120" s="43">
        <f t="shared" si="281"/>
        <v>0.85032225353333324</v>
      </c>
    </row>
    <row r="121" spans="1:30 16373:16373" s="6" customFormat="1" ht="39" outlineLevel="1">
      <c r="A121" s="70" t="s">
        <v>146</v>
      </c>
      <c r="B121" s="15"/>
      <c r="C121" s="25"/>
      <c r="D121" s="38"/>
      <c r="E121" s="38"/>
      <c r="F121" s="38"/>
      <c r="G121" s="38"/>
      <c r="H121" s="15" t="s">
        <v>88</v>
      </c>
      <c r="I121" s="25">
        <v>1</v>
      </c>
      <c r="J121" s="38">
        <v>500000</v>
      </c>
      <c r="K121" s="34">
        <f>J121/$B$2</f>
        <v>762.24508618705192</v>
      </c>
      <c r="L121" s="38">
        <f t="shared" ref="L121:L125" si="284">I121*J121</f>
        <v>500000</v>
      </c>
      <c r="M121" s="38">
        <f t="shared" si="269"/>
        <v>762.24508618705192</v>
      </c>
      <c r="N121" s="38"/>
      <c r="O121" s="16">
        <f t="shared" si="270"/>
        <v>0</v>
      </c>
      <c r="P121" s="38"/>
      <c r="Q121" s="16">
        <f t="shared" si="271"/>
        <v>0</v>
      </c>
      <c r="R121" s="16">
        <f t="shared" si="272"/>
        <v>0</v>
      </c>
      <c r="S121" s="15">
        <f t="shared" si="273"/>
        <v>0</v>
      </c>
      <c r="T121" s="38">
        <v>428340</v>
      </c>
      <c r="U121" s="16">
        <f t="shared" si="274"/>
        <v>653.00012043472361</v>
      </c>
      <c r="V121" s="16">
        <f t="shared" ref="V121:V126" si="285">+R121+T121</f>
        <v>428340</v>
      </c>
      <c r="W121" s="16">
        <f t="shared" si="275"/>
        <v>653.00012043472361</v>
      </c>
      <c r="X121" s="38"/>
      <c r="Y121" s="16">
        <f t="shared" si="276"/>
        <v>0</v>
      </c>
      <c r="Z121" s="16">
        <f t="shared" si="277"/>
        <v>428340</v>
      </c>
      <c r="AA121" s="16">
        <f t="shared" si="278"/>
        <v>653.00012043472361</v>
      </c>
      <c r="AB121" s="16">
        <f t="shared" si="279"/>
        <v>71660</v>
      </c>
      <c r="AC121" s="16">
        <f t="shared" ref="AC121" si="286">+AB121/655.957</f>
        <v>109.24496575232828</v>
      </c>
      <c r="AD121" s="43">
        <f t="shared" si="281"/>
        <v>0.85668</v>
      </c>
    </row>
    <row r="122" spans="1:30 16373:16373" s="6" customFormat="1" ht="26.1" outlineLevel="1">
      <c r="A122" s="70" t="s">
        <v>147</v>
      </c>
      <c r="B122" s="15"/>
      <c r="C122" s="25"/>
      <c r="D122" s="38"/>
      <c r="E122" s="38"/>
      <c r="F122" s="38"/>
      <c r="G122" s="38"/>
      <c r="H122" s="15" t="s">
        <v>88</v>
      </c>
      <c r="I122" s="25">
        <v>1</v>
      </c>
      <c r="J122" s="38">
        <v>1500000</v>
      </c>
      <c r="K122" s="34">
        <f>J122/$B$2</f>
        <v>2286.7352585611557</v>
      </c>
      <c r="L122" s="38">
        <f t="shared" si="284"/>
        <v>1500000</v>
      </c>
      <c r="M122" s="38">
        <f t="shared" si="269"/>
        <v>2286.7352585611557</v>
      </c>
      <c r="N122" s="38"/>
      <c r="O122" s="16">
        <f t="shared" si="270"/>
        <v>0</v>
      </c>
      <c r="P122" s="38"/>
      <c r="Q122" s="16">
        <f t="shared" si="271"/>
        <v>0</v>
      </c>
      <c r="R122" s="16">
        <f t="shared" si="272"/>
        <v>0</v>
      </c>
      <c r="S122" s="15">
        <f t="shared" si="273"/>
        <v>0</v>
      </c>
      <c r="T122" s="38">
        <v>1199745</v>
      </c>
      <c r="U122" s="16">
        <f t="shared" si="274"/>
        <v>1828.9994618549692</v>
      </c>
      <c r="V122" s="16">
        <f t="shared" si="285"/>
        <v>1199745</v>
      </c>
      <c r="W122" s="16">
        <f t="shared" si="275"/>
        <v>1828.9994618549692</v>
      </c>
      <c r="X122" s="38"/>
      <c r="Y122" s="16">
        <f t="shared" si="276"/>
        <v>0</v>
      </c>
      <c r="Z122" s="16">
        <f t="shared" si="277"/>
        <v>1199745</v>
      </c>
      <c r="AA122" s="16">
        <f t="shared" si="278"/>
        <v>1828.9994618549692</v>
      </c>
      <c r="AB122" s="16">
        <f t="shared" si="279"/>
        <v>300255</v>
      </c>
      <c r="AC122" s="16">
        <f t="shared" ref="AC122" si="287">+AB122/655.957</f>
        <v>457.73579670618653</v>
      </c>
      <c r="AD122" s="43">
        <f t="shared" si="281"/>
        <v>0.79983000000000004</v>
      </c>
    </row>
    <row r="123" spans="1:30 16373:16373" s="6" customFormat="1" ht="26.1" outlineLevel="1">
      <c r="A123" s="70" t="s">
        <v>148</v>
      </c>
      <c r="B123" s="15"/>
      <c r="C123" s="25"/>
      <c r="D123" s="38"/>
      <c r="E123" s="38"/>
      <c r="F123" s="38"/>
      <c r="G123" s="38"/>
      <c r="H123" s="15" t="s">
        <v>88</v>
      </c>
      <c r="I123" s="25">
        <v>1</v>
      </c>
      <c r="J123" s="38">
        <v>600000</v>
      </c>
      <c r="K123" s="34">
        <f>J123/$B$2</f>
        <v>914.69410342446224</v>
      </c>
      <c r="L123" s="38">
        <f t="shared" si="284"/>
        <v>600000</v>
      </c>
      <c r="M123" s="38">
        <f t="shared" si="269"/>
        <v>914.69410342446224</v>
      </c>
      <c r="N123" s="38"/>
      <c r="O123" s="16">
        <f t="shared" si="270"/>
        <v>0</v>
      </c>
      <c r="P123" s="38"/>
      <c r="Q123" s="16">
        <f t="shared" si="271"/>
        <v>0</v>
      </c>
      <c r="R123" s="16">
        <f t="shared" si="272"/>
        <v>0</v>
      </c>
      <c r="S123" s="15">
        <f t="shared" si="273"/>
        <v>0</v>
      </c>
      <c r="T123" s="38">
        <v>535917</v>
      </c>
      <c r="U123" s="16">
        <f t="shared" si="274"/>
        <v>817.00019970821256</v>
      </c>
      <c r="V123" s="16">
        <f t="shared" si="285"/>
        <v>535917</v>
      </c>
      <c r="W123" s="16">
        <f t="shared" si="275"/>
        <v>817.00019970821256</v>
      </c>
      <c r="X123" s="38"/>
      <c r="Y123" s="16">
        <f t="shared" si="276"/>
        <v>0</v>
      </c>
      <c r="Z123" s="16">
        <f t="shared" si="277"/>
        <v>535917</v>
      </c>
      <c r="AA123" s="16">
        <f t="shared" si="278"/>
        <v>817.00019970821256</v>
      </c>
      <c r="AB123" s="16">
        <f t="shared" si="279"/>
        <v>64083</v>
      </c>
      <c r="AC123" s="16">
        <f t="shared" ref="AC123" si="288">+AB123/655.957</f>
        <v>97.693903716249693</v>
      </c>
      <c r="AD123" s="43">
        <f t="shared" si="281"/>
        <v>0.89319499999999996</v>
      </c>
    </row>
    <row r="124" spans="1:30 16373:16373" s="6" customFormat="1" ht="26.1" outlineLevel="1">
      <c r="A124" s="70" t="s">
        <v>149</v>
      </c>
      <c r="B124" s="15"/>
      <c r="C124" s="25"/>
      <c r="D124" s="38"/>
      <c r="E124" s="38"/>
      <c r="F124" s="38"/>
      <c r="G124" s="38"/>
      <c r="H124" s="15" t="s">
        <v>73</v>
      </c>
      <c r="I124" s="25">
        <v>8</v>
      </c>
      <c r="J124" s="38">
        <v>300000</v>
      </c>
      <c r="K124" s="34">
        <f>J124/$B$2</f>
        <v>457.34705171223112</v>
      </c>
      <c r="L124" s="38">
        <f t="shared" si="284"/>
        <v>2400000</v>
      </c>
      <c r="M124" s="38">
        <f t="shared" si="269"/>
        <v>3658.776413697849</v>
      </c>
      <c r="N124" s="38"/>
      <c r="O124" s="16">
        <f t="shared" si="270"/>
        <v>0</v>
      </c>
      <c r="P124" s="38"/>
      <c r="Q124" s="16">
        <f t="shared" si="271"/>
        <v>0</v>
      </c>
      <c r="R124" s="16">
        <f t="shared" si="272"/>
        <v>0</v>
      </c>
      <c r="S124" s="15">
        <f t="shared" si="273"/>
        <v>0</v>
      </c>
      <c r="T124" s="38">
        <v>64939.743000000002</v>
      </c>
      <c r="U124" s="16">
        <f t="shared" si="274"/>
        <v>99</v>
      </c>
      <c r="V124" s="16">
        <f t="shared" si="285"/>
        <v>64939.743000000002</v>
      </c>
      <c r="W124" s="16">
        <f t="shared" si="275"/>
        <v>99</v>
      </c>
      <c r="X124" s="38">
        <v>1254873.95</v>
      </c>
      <c r="Y124" s="16">
        <f t="shared" si="276"/>
        <v>1913.0430043432725</v>
      </c>
      <c r="Z124" s="16">
        <f t="shared" si="277"/>
        <v>1319813.693</v>
      </c>
      <c r="AA124" s="16">
        <f t="shared" si="278"/>
        <v>2012.0430043432725</v>
      </c>
      <c r="AB124" s="16">
        <f t="shared" si="279"/>
        <v>1080186.307</v>
      </c>
      <c r="AC124" s="16">
        <f t="shared" ref="AC124" si="289">+AB124/655.957</f>
        <v>1646.7334093545767</v>
      </c>
      <c r="AD124" s="43">
        <f t="shared" si="281"/>
        <v>0.54992237208333328</v>
      </c>
    </row>
    <row r="125" spans="1:30 16373:16373" s="6" customFormat="1" outlineLevel="1">
      <c r="A125" s="70" t="s">
        <v>150</v>
      </c>
      <c r="B125" s="15"/>
      <c r="C125" s="25"/>
      <c r="D125" s="38"/>
      <c r="E125" s="38"/>
      <c r="F125" s="38"/>
      <c r="G125" s="38"/>
      <c r="H125" s="15" t="s">
        <v>88</v>
      </c>
      <c r="I125" s="25">
        <v>1</v>
      </c>
      <c r="J125" s="38">
        <v>10000000</v>
      </c>
      <c r="K125" s="34">
        <f>J125/$B$2</f>
        <v>15244.901723741039</v>
      </c>
      <c r="L125" s="38">
        <f t="shared" si="284"/>
        <v>10000000</v>
      </c>
      <c r="M125" s="38">
        <f t="shared" si="269"/>
        <v>15244.901723741039</v>
      </c>
      <c r="N125" s="38"/>
      <c r="O125" s="16">
        <f t="shared" si="270"/>
        <v>0</v>
      </c>
      <c r="P125" s="38"/>
      <c r="Q125" s="16">
        <f t="shared" si="271"/>
        <v>0</v>
      </c>
      <c r="R125" s="16">
        <f t="shared" si="272"/>
        <v>0</v>
      </c>
      <c r="S125" s="15">
        <f t="shared" si="273"/>
        <v>0</v>
      </c>
      <c r="T125" s="38"/>
      <c r="U125" s="16">
        <f t="shared" si="274"/>
        <v>0</v>
      </c>
      <c r="V125" s="16">
        <f t="shared" si="285"/>
        <v>0</v>
      </c>
      <c r="W125" s="16">
        <f t="shared" si="275"/>
        <v>0</v>
      </c>
      <c r="X125" s="38">
        <v>9271018.1099999994</v>
      </c>
      <c r="Y125" s="16">
        <f t="shared" si="276"/>
        <v>14133.575996597338</v>
      </c>
      <c r="Z125" s="16">
        <f t="shared" si="277"/>
        <v>9271018.1099999994</v>
      </c>
      <c r="AA125" s="16">
        <f t="shared" si="278"/>
        <v>14133.575996597338</v>
      </c>
      <c r="AB125" s="16">
        <f t="shared" si="279"/>
        <v>728981.8900000006</v>
      </c>
      <c r="AC125" s="16">
        <f t="shared" ref="AC125" si="290">+AB125/655.957</f>
        <v>1111.325727143701</v>
      </c>
      <c r="AD125" s="43">
        <f t="shared" si="281"/>
        <v>0.92710181099999989</v>
      </c>
    </row>
    <row r="126" spans="1:30 16373:16373" s="31" customFormat="1" ht="38.450000000000003" customHeight="1">
      <c r="A126" s="56" t="s">
        <v>151</v>
      </c>
      <c r="B126" s="29" t="s">
        <v>88</v>
      </c>
      <c r="C126" s="30">
        <v>1</v>
      </c>
      <c r="D126" s="30">
        <v>15245</v>
      </c>
      <c r="E126" s="30">
        <f>C126*D126</f>
        <v>15245</v>
      </c>
      <c r="F126" s="30">
        <f t="shared" ref="F126:F158" si="291">+E126*655.957</f>
        <v>10000064.465</v>
      </c>
      <c r="G126" s="30"/>
      <c r="H126" s="29" t="s">
        <v>88</v>
      </c>
      <c r="I126" s="30">
        <v>0</v>
      </c>
      <c r="J126" s="30">
        <v>0</v>
      </c>
      <c r="K126" s="30"/>
      <c r="L126" s="30">
        <f t="shared" ref="L126:L133" si="292">I126*J126</f>
        <v>0</v>
      </c>
      <c r="M126" s="30">
        <f t="shared" ref="M126:M133" si="293">+L126/655.957</f>
        <v>0</v>
      </c>
      <c r="N126" s="30"/>
      <c r="O126" s="13">
        <f t="shared" si="270"/>
        <v>0</v>
      </c>
      <c r="P126" s="30"/>
      <c r="Q126" s="13">
        <f t="shared" si="271"/>
        <v>0</v>
      </c>
      <c r="R126" s="13">
        <f t="shared" si="272"/>
        <v>0</v>
      </c>
      <c r="S126" s="12">
        <f t="shared" si="273"/>
        <v>0</v>
      </c>
      <c r="T126" s="30"/>
      <c r="U126" s="13"/>
      <c r="V126" s="13">
        <f t="shared" si="285"/>
        <v>0</v>
      </c>
      <c r="W126" s="13"/>
      <c r="X126" s="30"/>
      <c r="Y126" s="16">
        <f t="shared" si="276"/>
        <v>0</v>
      </c>
      <c r="Z126" s="16">
        <f t="shared" si="277"/>
        <v>0</v>
      </c>
      <c r="AA126" s="16">
        <f t="shared" si="278"/>
        <v>0</v>
      </c>
      <c r="AB126" s="16">
        <f t="shared" si="279"/>
        <v>0</v>
      </c>
      <c r="AC126" s="13"/>
      <c r="AD126" s="43" t="e">
        <f t="shared" si="281"/>
        <v>#DIV/0!</v>
      </c>
    </row>
    <row r="127" spans="1:30 16373:16373" s="31" customFormat="1" ht="38.450000000000003" customHeight="1">
      <c r="A127" s="56" t="s">
        <v>152</v>
      </c>
      <c r="B127" s="29" t="s">
        <v>88</v>
      </c>
      <c r="C127" s="30">
        <v>3</v>
      </c>
      <c r="D127" s="30">
        <v>59455</v>
      </c>
      <c r="E127" s="30">
        <f>C127*D127</f>
        <v>178365</v>
      </c>
      <c r="F127" s="30">
        <f t="shared" si="291"/>
        <v>116999770.30499999</v>
      </c>
      <c r="G127" s="30"/>
      <c r="H127" s="29" t="s">
        <v>88</v>
      </c>
      <c r="I127" s="30">
        <v>0</v>
      </c>
      <c r="J127" s="30"/>
      <c r="K127" s="30"/>
      <c r="L127" s="30">
        <f t="shared" ref="L127:S127" si="294">SUM(L128:L133)</f>
        <v>308000000</v>
      </c>
      <c r="M127" s="30">
        <f t="shared" si="294"/>
        <v>469542.97309122403</v>
      </c>
      <c r="N127" s="30">
        <f t="shared" si="294"/>
        <v>31770987</v>
      </c>
      <c r="O127" s="30">
        <f t="shared" si="294"/>
        <v>48434.557448125408</v>
      </c>
      <c r="P127" s="30">
        <f t="shared" si="294"/>
        <v>68432332</v>
      </c>
      <c r="Q127" s="30">
        <f t="shared" si="294"/>
        <v>104324.4176066419</v>
      </c>
      <c r="R127" s="30">
        <f>SUM(R128:R133)</f>
        <v>100203319</v>
      </c>
      <c r="S127" s="30">
        <f t="shared" si="294"/>
        <v>152758.9750547673</v>
      </c>
      <c r="T127" s="30">
        <f t="shared" ref="T127:W127" si="295">SUM(T128:T133)</f>
        <v>83590470</v>
      </c>
      <c r="U127" s="30">
        <f t="shared" si="295"/>
        <v>127432.85001913235</v>
      </c>
      <c r="V127" s="30">
        <f t="shared" si="295"/>
        <v>183793789</v>
      </c>
      <c r="W127" s="30">
        <f t="shared" si="295"/>
        <v>280191.82507389964</v>
      </c>
      <c r="X127" s="30">
        <f>SUM(X128:X133)</f>
        <v>70753980</v>
      </c>
      <c r="Y127" s="16">
        <f t="shared" si="276"/>
        <v>107863.74716635389</v>
      </c>
      <c r="Z127" s="16">
        <f t="shared" si="277"/>
        <v>254547769</v>
      </c>
      <c r="AA127" s="16">
        <f t="shared" si="278"/>
        <v>388055.57224025356</v>
      </c>
      <c r="AB127" s="16">
        <f t="shared" si="279"/>
        <v>53452231</v>
      </c>
      <c r="AC127" s="30">
        <f>SUM(AC128:AC133)</f>
        <v>81487.400850970414</v>
      </c>
      <c r="AD127" s="43">
        <f t="shared" si="281"/>
        <v>0.82645379545454545</v>
      </c>
    </row>
    <row r="128" spans="1:30 16373:16373" s="36" customFormat="1" outlineLevel="1">
      <c r="A128" s="69" t="s">
        <v>153</v>
      </c>
      <c r="B128" s="26"/>
      <c r="C128" s="34"/>
      <c r="D128" s="34"/>
      <c r="E128" s="34"/>
      <c r="F128" s="34"/>
      <c r="G128" s="34"/>
      <c r="H128" s="26" t="s">
        <v>88</v>
      </c>
      <c r="I128" s="34">
        <v>3</v>
      </c>
      <c r="J128" s="34">
        <v>4000000</v>
      </c>
      <c r="K128" s="34">
        <f t="shared" ref="K128:K133" si="296">J128/$B$2</f>
        <v>6097.9606894964154</v>
      </c>
      <c r="L128" s="34">
        <f t="shared" si="292"/>
        <v>12000000</v>
      </c>
      <c r="M128" s="34">
        <f t="shared" si="293"/>
        <v>18293.882068489245</v>
      </c>
      <c r="N128" s="34"/>
      <c r="O128" s="16">
        <f t="shared" si="270"/>
        <v>0</v>
      </c>
      <c r="P128" s="34"/>
      <c r="Q128" s="16">
        <f t="shared" si="271"/>
        <v>0</v>
      </c>
      <c r="R128" s="16">
        <f t="shared" si="272"/>
        <v>0</v>
      </c>
      <c r="S128" s="15">
        <f t="shared" si="273"/>
        <v>0</v>
      </c>
      <c r="T128" s="34">
        <v>5960190</v>
      </c>
      <c r="U128" s="16">
        <f t="shared" si="274"/>
        <v>9086.2510804824105</v>
      </c>
      <c r="V128" s="16">
        <f t="shared" ref="V128:V133" si="297">+R128+T128</f>
        <v>5960190</v>
      </c>
      <c r="W128" s="16">
        <f t="shared" si="275"/>
        <v>9086.2510804824105</v>
      </c>
      <c r="X128" s="34">
        <v>3270867</v>
      </c>
      <c r="Y128" s="16">
        <f t="shared" si="276"/>
        <v>4986.4045966427675</v>
      </c>
      <c r="Z128" s="16">
        <f t="shared" si="277"/>
        <v>9231057</v>
      </c>
      <c r="AA128" s="16">
        <f t="shared" si="278"/>
        <v>14072.655677125178</v>
      </c>
      <c r="AB128" s="16">
        <f t="shared" si="279"/>
        <v>2768943</v>
      </c>
      <c r="AC128" s="16">
        <f t="shared" ref="AC128" si="298">+AB128/655.957</f>
        <v>4221.2263913640681</v>
      </c>
      <c r="AD128" s="43">
        <f t="shared" si="281"/>
        <v>0.76925474999999999</v>
      </c>
      <c r="XES128" s="36">
        <f>SUM(I128:XER128)</f>
        <v>43257095.400838837</v>
      </c>
    </row>
    <row r="129" spans="1:30 16373:16373" s="36" customFormat="1" outlineLevel="1">
      <c r="A129" s="69" t="s">
        <v>154</v>
      </c>
      <c r="B129" s="26"/>
      <c r="C129" s="34"/>
      <c r="D129" s="34"/>
      <c r="E129" s="34"/>
      <c r="F129" s="34"/>
      <c r="G129" s="34"/>
      <c r="H129" s="26" t="s">
        <v>88</v>
      </c>
      <c r="I129" s="34">
        <v>5</v>
      </c>
      <c r="J129" s="34">
        <v>45000000</v>
      </c>
      <c r="K129" s="34">
        <f t="shared" si="296"/>
        <v>68602.057756834678</v>
      </c>
      <c r="L129" s="34">
        <f t="shared" si="292"/>
        <v>225000000</v>
      </c>
      <c r="M129" s="34">
        <f t="shared" si="293"/>
        <v>343010.28878417338</v>
      </c>
      <c r="N129" s="34">
        <v>31770987</v>
      </c>
      <c r="O129" s="16">
        <f t="shared" si="270"/>
        <v>48434.557448125408</v>
      </c>
      <c r="P129" s="34">
        <v>51932332</v>
      </c>
      <c r="Q129" s="16">
        <f t="shared" si="271"/>
        <v>79170.329762469191</v>
      </c>
      <c r="R129" s="16">
        <f t="shared" si="272"/>
        <v>83703319</v>
      </c>
      <c r="S129" s="15">
        <f t="shared" si="273"/>
        <v>127604.88721059459</v>
      </c>
      <c r="T129" s="34">
        <v>46383713</v>
      </c>
      <c r="U129" s="16">
        <f t="shared" si="274"/>
        <v>70711.514626720964</v>
      </c>
      <c r="V129" s="16">
        <f t="shared" si="297"/>
        <v>130087032</v>
      </c>
      <c r="W129" s="16">
        <f t="shared" si="275"/>
        <v>198316.40183731556</v>
      </c>
      <c r="X129" s="34">
        <v>47411634</v>
      </c>
      <c r="Y129" s="16">
        <f t="shared" si="276"/>
        <v>72278.570089197921</v>
      </c>
      <c r="Z129" s="16">
        <f t="shared" si="277"/>
        <v>177498666</v>
      </c>
      <c r="AA129" s="16">
        <f t="shared" si="278"/>
        <v>270594.97192651348</v>
      </c>
      <c r="AB129" s="16">
        <f t="shared" si="279"/>
        <v>47501334</v>
      </c>
      <c r="AC129" s="16">
        <f t="shared" ref="AC129" si="299">+AB129/655.957</f>
        <v>72415.316857659884</v>
      </c>
      <c r="AD129" s="43">
        <f t="shared" si="281"/>
        <v>0.78888296000000002</v>
      </c>
      <c r="XES129" s="36">
        <f>SUM(I129:XER129)</f>
        <v>887640161.68518269</v>
      </c>
    </row>
    <row r="130" spans="1:30 16373:16373" s="6" customFormat="1" ht="26.1" outlineLevel="1" collapsed="1">
      <c r="A130" s="69" t="s">
        <v>155</v>
      </c>
      <c r="B130" s="15"/>
      <c r="C130" s="25"/>
      <c r="D130" s="38"/>
      <c r="E130" s="38"/>
      <c r="F130" s="38"/>
      <c r="G130" s="38"/>
      <c r="H130" s="15" t="s">
        <v>2</v>
      </c>
      <c r="I130" s="25">
        <v>1</v>
      </c>
      <c r="J130" s="38">
        <v>5000000</v>
      </c>
      <c r="K130" s="34">
        <f t="shared" si="296"/>
        <v>7622.4508618705195</v>
      </c>
      <c r="L130" s="38">
        <f>I130*J130</f>
        <v>5000000</v>
      </c>
      <c r="M130" s="38">
        <f>L130/$B$2</f>
        <v>7622.4508618705195</v>
      </c>
      <c r="N130" s="38"/>
      <c r="O130" s="16">
        <f t="shared" si="270"/>
        <v>0</v>
      </c>
      <c r="P130" s="38"/>
      <c r="Q130" s="16">
        <f t="shared" si="271"/>
        <v>0</v>
      </c>
      <c r="R130" s="16">
        <f t="shared" si="272"/>
        <v>0</v>
      </c>
      <c r="S130" s="15">
        <f t="shared" si="273"/>
        <v>0</v>
      </c>
      <c r="T130" s="38"/>
      <c r="U130" s="16">
        <f t="shared" si="274"/>
        <v>0</v>
      </c>
      <c r="V130" s="16">
        <f t="shared" si="297"/>
        <v>0</v>
      </c>
      <c r="W130" s="16">
        <f t="shared" si="275"/>
        <v>0</v>
      </c>
      <c r="X130" s="38">
        <v>2310000</v>
      </c>
      <c r="Y130" s="16">
        <f t="shared" si="276"/>
        <v>3521.57229818418</v>
      </c>
      <c r="Z130" s="16">
        <f t="shared" si="277"/>
        <v>2310000</v>
      </c>
      <c r="AA130" s="16">
        <f t="shared" si="278"/>
        <v>3521.57229818418</v>
      </c>
      <c r="AB130" s="16">
        <f t="shared" si="279"/>
        <v>2690000</v>
      </c>
      <c r="AC130" s="16">
        <f t="shared" ref="AC130" si="300">+AB130/655.957</f>
        <v>4100.8785636863395</v>
      </c>
      <c r="AD130" s="43">
        <f t="shared" si="281"/>
        <v>0.46200000000000002</v>
      </c>
    </row>
    <row r="131" spans="1:30 16373:16373" s="36" customFormat="1" outlineLevel="1">
      <c r="A131" s="69" t="s">
        <v>156</v>
      </c>
      <c r="B131" s="26"/>
      <c r="C131" s="34"/>
      <c r="D131" s="34"/>
      <c r="E131" s="34"/>
      <c r="F131" s="34"/>
      <c r="G131" s="34"/>
      <c r="H131" s="26" t="s">
        <v>88</v>
      </c>
      <c r="I131" s="34">
        <v>8</v>
      </c>
      <c r="J131" s="34">
        <v>3000000</v>
      </c>
      <c r="K131" s="34">
        <f t="shared" si="296"/>
        <v>4573.4705171223113</v>
      </c>
      <c r="L131" s="34">
        <f t="shared" si="292"/>
        <v>24000000</v>
      </c>
      <c r="M131" s="34">
        <f t="shared" si="293"/>
        <v>36587.764136978491</v>
      </c>
      <c r="N131" s="34"/>
      <c r="O131" s="16">
        <f t="shared" si="270"/>
        <v>0</v>
      </c>
      <c r="P131" s="34">
        <v>6000000</v>
      </c>
      <c r="Q131" s="16">
        <f t="shared" si="271"/>
        <v>9146.9410342446226</v>
      </c>
      <c r="R131" s="16">
        <f t="shared" si="272"/>
        <v>6000000</v>
      </c>
      <c r="S131" s="15">
        <f t="shared" si="273"/>
        <v>9146.9410342446226</v>
      </c>
      <c r="T131" s="34">
        <v>5601617</v>
      </c>
      <c r="U131" s="16">
        <f t="shared" si="274"/>
        <v>8539.6100659037111</v>
      </c>
      <c r="V131" s="16">
        <f t="shared" si="297"/>
        <v>11601617</v>
      </c>
      <c r="W131" s="16">
        <f t="shared" si="275"/>
        <v>17686.551100148332</v>
      </c>
      <c r="X131" s="34">
        <v>5200000</v>
      </c>
      <c r="Y131" s="16">
        <f t="shared" si="276"/>
        <v>7927.3488963453401</v>
      </c>
      <c r="Z131" s="16">
        <f t="shared" si="277"/>
        <v>16801617</v>
      </c>
      <c r="AA131" s="16">
        <f t="shared" si="278"/>
        <v>25613.899996493674</v>
      </c>
      <c r="AB131" s="16">
        <f t="shared" si="279"/>
        <v>7198383</v>
      </c>
      <c r="AC131" s="16">
        <f t="shared" ref="AC131" si="301">+AB131/655.957</f>
        <v>10973.864140484819</v>
      </c>
      <c r="AD131" s="43">
        <f t="shared" si="281"/>
        <v>0.70006737500000005</v>
      </c>
      <c r="XES131" s="36">
        <f>SUM(I131:XER131)</f>
        <v>85533439.090989321</v>
      </c>
    </row>
    <row r="132" spans="1:30 16373:16373" s="36" customFormat="1" outlineLevel="1">
      <c r="A132" s="69" t="s">
        <v>157</v>
      </c>
      <c r="B132" s="26"/>
      <c r="C132" s="34"/>
      <c r="D132" s="34"/>
      <c r="E132" s="34"/>
      <c r="F132" s="34"/>
      <c r="G132" s="34"/>
      <c r="H132" s="26" t="s">
        <v>88</v>
      </c>
      <c r="I132" s="34">
        <v>4</v>
      </c>
      <c r="J132" s="34">
        <v>3500000</v>
      </c>
      <c r="K132" s="34">
        <f t="shared" si="296"/>
        <v>5335.7156033093634</v>
      </c>
      <c r="L132" s="34">
        <f t="shared" si="292"/>
        <v>14000000</v>
      </c>
      <c r="M132" s="34">
        <f t="shared" si="293"/>
        <v>21342.862413237453</v>
      </c>
      <c r="N132" s="34"/>
      <c r="O132" s="16">
        <f t="shared" si="270"/>
        <v>0</v>
      </c>
      <c r="P132" s="34">
        <v>3500000</v>
      </c>
      <c r="Q132" s="16">
        <f t="shared" si="271"/>
        <v>5335.7156033093634</v>
      </c>
      <c r="R132" s="16">
        <f t="shared" si="272"/>
        <v>3500000</v>
      </c>
      <c r="S132" s="15">
        <f t="shared" si="273"/>
        <v>5335.7156033093634</v>
      </c>
      <c r="T132" s="34">
        <v>11647350</v>
      </c>
      <c r="U132" s="16">
        <f t="shared" si="274"/>
        <v>17756.270609201518</v>
      </c>
      <c r="V132" s="16">
        <f t="shared" si="297"/>
        <v>15147350</v>
      </c>
      <c r="W132" s="16">
        <f t="shared" si="275"/>
        <v>23091.986212510881</v>
      </c>
      <c r="X132" s="34">
        <v>5108379</v>
      </c>
      <c r="Y132" s="16">
        <f t="shared" si="276"/>
        <v>7787.6735822622522</v>
      </c>
      <c r="Z132" s="16">
        <f t="shared" si="277"/>
        <v>20255729</v>
      </c>
      <c r="AA132" s="16">
        <f t="shared" si="278"/>
        <v>30879.659794773132</v>
      </c>
      <c r="AB132" s="16">
        <f t="shared" si="279"/>
        <v>-6255729</v>
      </c>
      <c r="AC132" s="16">
        <f t="shared" ref="AC132" si="302">+AB132/655.957</f>
        <v>-9536.79738153568</v>
      </c>
      <c r="AD132" s="43">
        <f t="shared" si="281"/>
        <v>1.4468377857142858</v>
      </c>
      <c r="XES132" s="36">
        <f>SUM(I132:XER132)</f>
        <v>70510413.248878166</v>
      </c>
    </row>
    <row r="133" spans="1:30 16373:16373" s="36" customFormat="1" outlineLevel="1">
      <c r="A133" s="69" t="s">
        <v>158</v>
      </c>
      <c r="B133" s="26"/>
      <c r="C133" s="34"/>
      <c r="D133" s="34"/>
      <c r="E133" s="34"/>
      <c r="F133" s="34"/>
      <c r="G133" s="34"/>
      <c r="H133" s="26" t="s">
        <v>88</v>
      </c>
      <c r="I133" s="34">
        <v>4</v>
      </c>
      <c r="J133" s="34">
        <v>7000000</v>
      </c>
      <c r="K133" s="34">
        <f t="shared" si="296"/>
        <v>10671.431206618727</v>
      </c>
      <c r="L133" s="34">
        <f t="shared" si="292"/>
        <v>28000000</v>
      </c>
      <c r="M133" s="34">
        <f t="shared" si="293"/>
        <v>42685.724826474907</v>
      </c>
      <c r="N133" s="34"/>
      <c r="O133" s="16">
        <f t="shared" si="270"/>
        <v>0</v>
      </c>
      <c r="P133" s="34">
        <v>7000000</v>
      </c>
      <c r="Q133" s="16">
        <f t="shared" si="271"/>
        <v>10671.431206618727</v>
      </c>
      <c r="R133" s="16">
        <f t="shared" si="272"/>
        <v>7000000</v>
      </c>
      <c r="S133" s="15">
        <f t="shared" si="273"/>
        <v>10671.431206618727</v>
      </c>
      <c r="T133" s="34">
        <v>13997600</v>
      </c>
      <c r="U133" s="16">
        <f t="shared" si="274"/>
        <v>21339.203636823757</v>
      </c>
      <c r="V133" s="16">
        <f t="shared" si="297"/>
        <v>20997600</v>
      </c>
      <c r="W133" s="16">
        <f t="shared" si="275"/>
        <v>32010.634843442484</v>
      </c>
      <c r="X133" s="34">
        <v>7453100</v>
      </c>
      <c r="Y133" s="16">
        <f t="shared" si="276"/>
        <v>11362.177703721432</v>
      </c>
      <c r="Z133" s="16">
        <f t="shared" si="277"/>
        <v>28450700</v>
      </c>
      <c r="AA133" s="16">
        <f t="shared" si="278"/>
        <v>43372.812547163914</v>
      </c>
      <c r="AB133" s="16">
        <f t="shared" si="279"/>
        <v>-450700</v>
      </c>
      <c r="AC133" s="16">
        <f t="shared" ref="AC133" si="303">+AB133/655.957</f>
        <v>-687.08772068900862</v>
      </c>
      <c r="AD133" s="43">
        <f t="shared" si="281"/>
        <v>1.0160964285714287</v>
      </c>
      <c r="XES133" s="36">
        <f>SUM(I133:XER133)</f>
        <v>119630402.77555323</v>
      </c>
    </row>
    <row r="134" spans="1:30 16373:16373" s="31" customFormat="1" ht="27.6" customHeight="1">
      <c r="A134" s="56" t="s">
        <v>159</v>
      </c>
      <c r="B134" s="29"/>
      <c r="C134" s="30"/>
      <c r="D134" s="30"/>
      <c r="E134" s="30"/>
      <c r="F134" s="30"/>
      <c r="G134" s="30"/>
      <c r="H134" s="29" t="s">
        <v>88</v>
      </c>
      <c r="I134" s="30"/>
      <c r="J134" s="30"/>
      <c r="K134" s="30"/>
      <c r="L134" s="30">
        <f>SUM(L135:L142)</f>
        <v>88315000</v>
      </c>
      <c r="M134" s="30">
        <f>SUM(M135:M140)</f>
        <v>106584.73040153547</v>
      </c>
      <c r="N134" s="30">
        <f t="shared" ref="N134:Q134" si="304">SUM(N135:N140)</f>
        <v>0</v>
      </c>
      <c r="O134" s="30">
        <f t="shared" si="304"/>
        <v>0</v>
      </c>
      <c r="P134" s="30">
        <f t="shared" si="304"/>
        <v>0</v>
      </c>
      <c r="Q134" s="30">
        <f t="shared" si="304"/>
        <v>0</v>
      </c>
      <c r="R134" s="30">
        <f t="shared" ref="R134:X134" si="305">SUM(R135:R142)</f>
        <v>0</v>
      </c>
      <c r="S134" s="30">
        <f t="shared" si="305"/>
        <v>0</v>
      </c>
      <c r="T134" s="30">
        <f t="shared" si="305"/>
        <v>29391465.299000002</v>
      </c>
      <c r="U134" s="30">
        <f t="shared" si="305"/>
        <v>44807</v>
      </c>
      <c r="V134" s="30">
        <f t="shared" si="305"/>
        <v>29391465.299000002</v>
      </c>
      <c r="W134" s="30">
        <f t="shared" si="305"/>
        <v>44807</v>
      </c>
      <c r="X134" s="30">
        <f t="shared" si="305"/>
        <v>23090800.879999999</v>
      </c>
      <c r="Y134" s="16">
        <f t="shared" si="276"/>
        <v>35201.699013807309</v>
      </c>
      <c r="Z134" s="16">
        <f>+V134+X134</f>
        <v>52482266.179000005</v>
      </c>
      <c r="AA134" s="16">
        <f>+Z134/655.957</f>
        <v>80008.699013807316</v>
      </c>
      <c r="AB134" s="16">
        <f t="shared" si="279"/>
        <v>35832733.820999995</v>
      </c>
      <c r="AC134" s="30">
        <f>SUM(AC135:AC142)</f>
        <v>51638.429395524407</v>
      </c>
      <c r="AD134" s="43">
        <f t="shared" si="281"/>
        <v>0.59426219984147655</v>
      </c>
    </row>
    <row r="135" spans="1:30 16373:16373" s="36" customFormat="1" outlineLevel="1">
      <c r="A135" s="69" t="s">
        <v>160</v>
      </c>
      <c r="B135" s="26"/>
      <c r="C135" s="34"/>
      <c r="D135" s="34"/>
      <c r="E135" s="34"/>
      <c r="F135" s="34"/>
      <c r="G135" s="34"/>
      <c r="H135" s="26" t="s">
        <v>88</v>
      </c>
      <c r="I135" s="34">
        <v>1</v>
      </c>
      <c r="J135" s="34">
        <v>500000</v>
      </c>
      <c r="K135" s="34">
        <f t="shared" ref="K135:K147" si="306">J135/$B$2</f>
        <v>762.24508618705192</v>
      </c>
      <c r="L135" s="34">
        <f t="shared" ref="L135:L139" si="307">I135*J135</f>
        <v>500000</v>
      </c>
      <c r="M135" s="34">
        <f t="shared" ref="M135:M141" si="308">+L135/655.957</f>
        <v>762.24508618705192</v>
      </c>
      <c r="N135" s="34"/>
      <c r="O135" s="16">
        <f t="shared" si="270"/>
        <v>0</v>
      </c>
      <c r="P135" s="34"/>
      <c r="Q135" s="16">
        <f t="shared" si="271"/>
        <v>0</v>
      </c>
      <c r="R135" s="16">
        <f t="shared" si="272"/>
        <v>0</v>
      </c>
      <c r="S135" s="15">
        <f t="shared" si="273"/>
        <v>0</v>
      </c>
      <c r="T135" s="34"/>
      <c r="U135" s="16">
        <f t="shared" si="274"/>
        <v>0</v>
      </c>
      <c r="V135" s="16">
        <f t="shared" ref="V135:V144" si="309">+R135+T135</f>
        <v>0</v>
      </c>
      <c r="W135" s="16">
        <f t="shared" si="275"/>
        <v>0</v>
      </c>
      <c r="X135" s="34"/>
      <c r="Y135" s="16">
        <f t="shared" si="276"/>
        <v>0</v>
      </c>
      <c r="Z135" s="16">
        <f t="shared" si="277"/>
        <v>0</v>
      </c>
      <c r="AA135" s="16">
        <f t="shared" si="278"/>
        <v>0</v>
      </c>
      <c r="AB135" s="16">
        <f t="shared" si="279"/>
        <v>500000</v>
      </c>
      <c r="AC135" s="16">
        <f t="shared" ref="AC135" si="310">+AB135/655.957</f>
        <v>762.24508618705192</v>
      </c>
      <c r="AD135" s="43">
        <f t="shared" si="281"/>
        <v>0</v>
      </c>
    </row>
    <row r="136" spans="1:30 16373:16373" s="36" customFormat="1" outlineLevel="1">
      <c r="A136" s="69" t="s">
        <v>161</v>
      </c>
      <c r="B136" s="26"/>
      <c r="C136" s="34"/>
      <c r="D136" s="34"/>
      <c r="E136" s="34"/>
      <c r="F136" s="34"/>
      <c r="G136" s="34"/>
      <c r="H136" s="26" t="s">
        <v>88</v>
      </c>
      <c r="I136" s="34">
        <v>1</v>
      </c>
      <c r="J136" s="34">
        <v>1815000</v>
      </c>
      <c r="K136" s="34">
        <f t="shared" si="306"/>
        <v>2766.9496628589982</v>
      </c>
      <c r="L136" s="34">
        <f t="shared" si="307"/>
        <v>1815000</v>
      </c>
      <c r="M136" s="34">
        <f t="shared" si="308"/>
        <v>2766.9496628589982</v>
      </c>
      <c r="N136" s="34"/>
      <c r="O136" s="16">
        <f t="shared" si="270"/>
        <v>0</v>
      </c>
      <c r="P136" s="34"/>
      <c r="Q136" s="16">
        <f t="shared" si="271"/>
        <v>0</v>
      </c>
      <c r="R136" s="16">
        <f t="shared" si="272"/>
        <v>0</v>
      </c>
      <c r="S136" s="15">
        <f t="shared" si="273"/>
        <v>0</v>
      </c>
      <c r="T136" s="34">
        <v>453266.28700000001</v>
      </c>
      <c r="U136" s="16">
        <f t="shared" si="274"/>
        <v>691</v>
      </c>
      <c r="V136" s="16">
        <f t="shared" si="309"/>
        <v>453266.28700000001</v>
      </c>
      <c r="W136" s="16">
        <f t="shared" si="275"/>
        <v>691</v>
      </c>
      <c r="X136" s="34"/>
      <c r="Y136" s="16">
        <f t="shared" si="276"/>
        <v>0</v>
      </c>
      <c r="Z136" s="16">
        <f t="shared" si="277"/>
        <v>453266.28700000001</v>
      </c>
      <c r="AA136" s="16">
        <f t="shared" si="278"/>
        <v>691</v>
      </c>
      <c r="AB136" s="16">
        <f t="shared" si="279"/>
        <v>1361733.713</v>
      </c>
      <c r="AC136" s="16">
        <f t="shared" ref="AC136" si="311">+AB136/655.957</f>
        <v>2075.9496628589982</v>
      </c>
      <c r="AD136" s="43">
        <f t="shared" si="281"/>
        <v>0.24973349146005511</v>
      </c>
    </row>
    <row r="137" spans="1:30 16373:16373" s="36" customFormat="1" outlineLevel="1">
      <c r="A137" s="69" t="s">
        <v>162</v>
      </c>
      <c r="B137" s="26"/>
      <c r="C137" s="34"/>
      <c r="D137" s="34"/>
      <c r="E137" s="34"/>
      <c r="F137" s="34"/>
      <c r="G137" s="34"/>
      <c r="H137" s="26" t="s">
        <v>88</v>
      </c>
      <c r="I137" s="34">
        <v>1</v>
      </c>
      <c r="J137" s="34">
        <v>33000000</v>
      </c>
      <c r="K137" s="34">
        <f t="shared" si="306"/>
        <v>50308.175688345429</v>
      </c>
      <c r="L137" s="34">
        <f t="shared" si="307"/>
        <v>33000000</v>
      </c>
      <c r="M137" s="34">
        <f t="shared" si="308"/>
        <v>50308.175688345429</v>
      </c>
      <c r="N137" s="34"/>
      <c r="O137" s="16">
        <f t="shared" si="270"/>
        <v>0</v>
      </c>
      <c r="P137" s="34"/>
      <c r="Q137" s="16">
        <f t="shared" si="271"/>
        <v>0</v>
      </c>
      <c r="R137" s="16">
        <f t="shared" si="272"/>
        <v>0</v>
      </c>
      <c r="S137" s="15">
        <f t="shared" si="273"/>
        <v>0</v>
      </c>
      <c r="T137" s="34">
        <v>16981414.816</v>
      </c>
      <c r="U137" s="16">
        <f t="shared" si="274"/>
        <v>25888</v>
      </c>
      <c r="V137" s="16">
        <f t="shared" si="309"/>
        <v>16981414.816</v>
      </c>
      <c r="W137" s="16">
        <f t="shared" si="275"/>
        <v>25888</v>
      </c>
      <c r="X137" s="34">
        <v>1272008.8600000001</v>
      </c>
      <c r="Y137" s="16">
        <f t="shared" si="276"/>
        <v>1939.1650062427875</v>
      </c>
      <c r="Z137" s="16">
        <f t="shared" si="277"/>
        <v>18253423.675999999</v>
      </c>
      <c r="AA137" s="16">
        <f t="shared" si="278"/>
        <v>27827.165006242787</v>
      </c>
      <c r="AB137" s="16">
        <f t="shared" si="279"/>
        <v>14746576.324000001</v>
      </c>
      <c r="AC137" s="16">
        <f t="shared" ref="AC137" si="312">+AB137/655.957</f>
        <v>22481.010682102638</v>
      </c>
      <c r="AD137" s="43">
        <f t="shared" si="281"/>
        <v>0.55313405078787881</v>
      </c>
    </row>
    <row r="138" spans="1:30 16373:16373" s="36" customFormat="1" outlineLevel="1">
      <c r="A138" s="69" t="s">
        <v>163</v>
      </c>
      <c r="B138" s="26"/>
      <c r="C138" s="34"/>
      <c r="D138" s="34"/>
      <c r="E138" s="34"/>
      <c r="F138" s="34"/>
      <c r="G138" s="34"/>
      <c r="H138" s="26" t="s">
        <v>88</v>
      </c>
      <c r="I138" s="34">
        <v>1</v>
      </c>
      <c r="J138" s="34">
        <v>4600000</v>
      </c>
      <c r="K138" s="34">
        <f t="shared" si="306"/>
        <v>7012.6547929208773</v>
      </c>
      <c r="L138" s="34">
        <f t="shared" si="307"/>
        <v>4600000</v>
      </c>
      <c r="M138" s="34">
        <f t="shared" si="308"/>
        <v>7012.6547929208773</v>
      </c>
      <c r="N138" s="34"/>
      <c r="O138" s="16">
        <f t="shared" si="270"/>
        <v>0</v>
      </c>
      <c r="P138" s="34"/>
      <c r="Q138" s="16">
        <f t="shared" si="271"/>
        <v>0</v>
      </c>
      <c r="R138" s="16">
        <f t="shared" si="272"/>
        <v>0</v>
      </c>
      <c r="S138" s="15">
        <f t="shared" si="273"/>
        <v>0</v>
      </c>
      <c r="T138" s="34">
        <v>2344390.318</v>
      </c>
      <c r="U138" s="16">
        <f t="shared" si="274"/>
        <v>3574</v>
      </c>
      <c r="V138" s="16">
        <f t="shared" si="309"/>
        <v>2344390.318</v>
      </c>
      <c r="W138" s="16">
        <f t="shared" si="275"/>
        <v>3574</v>
      </c>
      <c r="X138" s="34"/>
      <c r="Y138" s="16">
        <f t="shared" si="276"/>
        <v>0</v>
      </c>
      <c r="Z138" s="16">
        <f t="shared" si="277"/>
        <v>2344390.318</v>
      </c>
      <c r="AA138" s="16">
        <f t="shared" si="278"/>
        <v>3574</v>
      </c>
      <c r="AB138" s="16">
        <f t="shared" si="279"/>
        <v>2255609.682</v>
      </c>
      <c r="AC138" s="16">
        <f t="shared" ref="AC138" si="313">+AB138/655.957</f>
        <v>3438.6547929208773</v>
      </c>
      <c r="AD138" s="43">
        <f t="shared" si="281"/>
        <v>0.50965006913043476</v>
      </c>
    </row>
    <row r="139" spans="1:30 16373:16373" s="36" customFormat="1" ht="26.1" outlineLevel="1">
      <c r="A139" s="69" t="s">
        <v>164</v>
      </c>
      <c r="B139" s="26"/>
      <c r="C139" s="34"/>
      <c r="D139" s="34"/>
      <c r="E139" s="34"/>
      <c r="F139" s="34"/>
      <c r="G139" s="34"/>
      <c r="H139" s="26" t="s">
        <v>88</v>
      </c>
      <c r="I139" s="34">
        <v>1</v>
      </c>
      <c r="J139" s="34">
        <v>10000000</v>
      </c>
      <c r="K139" s="34">
        <f t="shared" si="306"/>
        <v>15244.901723741039</v>
      </c>
      <c r="L139" s="34">
        <f t="shared" si="307"/>
        <v>10000000</v>
      </c>
      <c r="M139" s="34">
        <f t="shared" si="308"/>
        <v>15244.901723741039</v>
      </c>
      <c r="N139" s="34"/>
      <c r="O139" s="16">
        <f t="shared" si="270"/>
        <v>0</v>
      </c>
      <c r="P139" s="34"/>
      <c r="Q139" s="16">
        <f t="shared" si="271"/>
        <v>0</v>
      </c>
      <c r="R139" s="16">
        <f t="shared" si="272"/>
        <v>0</v>
      </c>
      <c r="S139" s="15">
        <f t="shared" si="273"/>
        <v>0</v>
      </c>
      <c r="T139" s="34"/>
      <c r="U139" s="16">
        <f t="shared" si="274"/>
        <v>0</v>
      </c>
      <c r="V139" s="16">
        <f t="shared" si="309"/>
        <v>0</v>
      </c>
      <c r="W139" s="16">
        <f t="shared" si="275"/>
        <v>0</v>
      </c>
      <c r="X139" s="34">
        <v>3378992.59</v>
      </c>
      <c r="Y139" s="16">
        <f t="shared" si="276"/>
        <v>5151.2409959799188</v>
      </c>
      <c r="Z139" s="16">
        <f t="shared" si="277"/>
        <v>3378992.59</v>
      </c>
      <c r="AA139" s="16">
        <f t="shared" si="278"/>
        <v>5151.2409959799188</v>
      </c>
      <c r="AB139" s="16">
        <f t="shared" si="279"/>
        <v>6621007.4100000001</v>
      </c>
      <c r="AC139" s="16">
        <f t="shared" ref="AC139" si="314">+AB139/655.957</f>
        <v>10093.660727761118</v>
      </c>
      <c r="AD139" s="43">
        <f t="shared" si="281"/>
        <v>0.33789925900000001</v>
      </c>
    </row>
    <row r="140" spans="1:30 16373:16373" s="35" customFormat="1" ht="39" outlineLevel="1" collapsed="1">
      <c r="A140" s="69" t="s">
        <v>165</v>
      </c>
      <c r="B140" s="26" t="s">
        <v>201</v>
      </c>
      <c r="C140" s="34"/>
      <c r="D140" s="34"/>
      <c r="E140" s="34"/>
      <c r="F140" s="34"/>
      <c r="G140" s="34"/>
      <c r="H140" s="26" t="s">
        <v>88</v>
      </c>
      <c r="I140" s="34">
        <v>1</v>
      </c>
      <c r="J140" s="34">
        <v>20000000</v>
      </c>
      <c r="K140" s="34">
        <f t="shared" si="306"/>
        <v>30489.803447482078</v>
      </c>
      <c r="L140" s="34">
        <f>I140*J140</f>
        <v>20000000</v>
      </c>
      <c r="M140" s="34">
        <f t="shared" si="308"/>
        <v>30489.803447482078</v>
      </c>
      <c r="N140" s="34"/>
      <c r="O140" s="16">
        <f t="shared" si="270"/>
        <v>0</v>
      </c>
      <c r="P140" s="34"/>
      <c r="Q140" s="16">
        <f t="shared" si="271"/>
        <v>0</v>
      </c>
      <c r="R140" s="16">
        <f t="shared" si="272"/>
        <v>0</v>
      </c>
      <c r="S140" s="15">
        <f t="shared" si="273"/>
        <v>0</v>
      </c>
      <c r="T140" s="34">
        <v>9612393.8780000005</v>
      </c>
      <c r="U140" s="16">
        <f t="shared" si="274"/>
        <v>14654</v>
      </c>
      <c r="V140" s="16">
        <f t="shared" si="309"/>
        <v>9612393.8780000005</v>
      </c>
      <c r="W140" s="16">
        <f t="shared" si="275"/>
        <v>14654</v>
      </c>
      <c r="X140" s="34">
        <v>1999944.02</v>
      </c>
      <c r="Y140" s="16">
        <f t="shared" si="276"/>
        <v>3048.8950037883583</v>
      </c>
      <c r="Z140" s="16">
        <f t="shared" si="277"/>
        <v>11612337.898</v>
      </c>
      <c r="AA140" s="16">
        <f t="shared" si="278"/>
        <v>17702.895003788359</v>
      </c>
      <c r="AB140" s="16">
        <f t="shared" si="279"/>
        <v>8387662.102</v>
      </c>
      <c r="AC140" s="16">
        <f t="shared" ref="AC140" si="315">+AB140/655.957</f>
        <v>12786.908443693717</v>
      </c>
      <c r="AD140" s="43">
        <f t="shared" si="281"/>
        <v>0.58061689490000001</v>
      </c>
    </row>
    <row r="141" spans="1:30 16373:16373" s="35" customFormat="1" ht="26.1" outlineLevel="1">
      <c r="A141" s="186" t="s">
        <v>166</v>
      </c>
      <c r="B141" s="26"/>
      <c r="C141" s="34"/>
      <c r="D141" s="34"/>
      <c r="E141" s="34"/>
      <c r="F141" s="34"/>
      <c r="G141" s="34"/>
      <c r="H141" s="26" t="s">
        <v>88</v>
      </c>
      <c r="I141" s="34">
        <v>1</v>
      </c>
      <c r="J141" s="34">
        <v>15000000</v>
      </c>
      <c r="K141" s="34">
        <f t="shared" si="306"/>
        <v>22867.352585611556</v>
      </c>
      <c r="L141" s="34">
        <f>I141*J141</f>
        <v>15000000</v>
      </c>
      <c r="M141" s="34">
        <f t="shared" si="308"/>
        <v>22867.352585611556</v>
      </c>
      <c r="N141" s="34"/>
      <c r="O141" s="16"/>
      <c r="P141" s="34"/>
      <c r="Q141" s="16"/>
      <c r="R141" s="16"/>
      <c r="S141" s="15"/>
      <c r="T141" s="34"/>
      <c r="U141" s="16"/>
      <c r="V141" s="16"/>
      <c r="W141" s="16"/>
      <c r="X141" s="34">
        <v>13272301.369999999</v>
      </c>
      <c r="Y141" s="16"/>
      <c r="Z141" s="16"/>
      <c r="AA141" s="16"/>
      <c r="AB141" s="16">
        <f t="shared" si="279"/>
        <v>15000000</v>
      </c>
      <c r="AC141" s="16"/>
      <c r="AD141" s="43">
        <f t="shared" si="281"/>
        <v>0</v>
      </c>
    </row>
    <row r="142" spans="1:30 16373:16373" s="35" customFormat="1" outlineLevel="1">
      <c r="A142" s="186" t="s">
        <v>167</v>
      </c>
      <c r="B142" s="26"/>
      <c r="C142" s="34"/>
      <c r="D142" s="34"/>
      <c r="E142" s="34"/>
      <c r="F142" s="34"/>
      <c r="G142" s="34"/>
      <c r="H142" s="26" t="s">
        <v>88</v>
      </c>
      <c r="I142" s="34">
        <v>1</v>
      </c>
      <c r="J142" s="34">
        <v>3400000</v>
      </c>
      <c r="K142" s="34">
        <f t="shared" si="306"/>
        <v>5183.2665860719526</v>
      </c>
      <c r="L142" s="34">
        <f>I142*J142</f>
        <v>3400000</v>
      </c>
      <c r="M142" s="34">
        <f>+L142/655.957</f>
        <v>5183.2665860719526</v>
      </c>
      <c r="N142" s="34"/>
      <c r="O142" s="16"/>
      <c r="P142" s="34"/>
      <c r="Q142" s="16"/>
      <c r="R142" s="16"/>
      <c r="S142" s="15"/>
      <c r="T142" s="34"/>
      <c r="U142" s="16"/>
      <c r="V142" s="16"/>
      <c r="W142" s="16"/>
      <c r="X142" s="34">
        <v>3167554.04</v>
      </c>
      <c r="Y142" s="16"/>
      <c r="Z142" s="16"/>
      <c r="AA142" s="16"/>
      <c r="AB142" s="16">
        <f t="shared" si="279"/>
        <v>3400000</v>
      </c>
      <c r="AC142" s="16"/>
      <c r="AD142" s="43">
        <f t="shared" si="281"/>
        <v>0</v>
      </c>
    </row>
    <row r="143" spans="1:30 16373:16373" s="31" customFormat="1" ht="40.5" customHeight="1">
      <c r="A143" s="56" t="s">
        <v>168</v>
      </c>
      <c r="B143" s="29"/>
      <c r="C143" s="30"/>
      <c r="D143" s="30"/>
      <c r="E143" s="30"/>
      <c r="F143" s="30"/>
      <c r="G143" s="30"/>
      <c r="H143" s="29" t="s">
        <v>88</v>
      </c>
      <c r="I143" s="30">
        <v>1</v>
      </c>
      <c r="J143" s="30">
        <v>17000000</v>
      </c>
      <c r="K143" s="30">
        <f t="shared" si="306"/>
        <v>25916.332930359764</v>
      </c>
      <c r="L143" s="30">
        <f>I143*J143</f>
        <v>17000000</v>
      </c>
      <c r="M143" s="30">
        <f t="shared" ref="M143:M149" si="316">+L143/655.957</f>
        <v>25916.332930359764</v>
      </c>
      <c r="N143" s="30"/>
      <c r="O143" s="13">
        <f t="shared" si="270"/>
        <v>0</v>
      </c>
      <c r="P143" s="30"/>
      <c r="Q143" s="13">
        <f t="shared" si="271"/>
        <v>0</v>
      </c>
      <c r="R143" s="13">
        <f t="shared" si="272"/>
        <v>0</v>
      </c>
      <c r="S143" s="12">
        <f t="shared" si="273"/>
        <v>0</v>
      </c>
      <c r="T143" s="30"/>
      <c r="U143" s="13">
        <f t="shared" si="274"/>
        <v>0</v>
      </c>
      <c r="V143" s="13">
        <f t="shared" si="309"/>
        <v>0</v>
      </c>
      <c r="W143" s="13">
        <f t="shared" si="275"/>
        <v>0</v>
      </c>
      <c r="X143" s="30">
        <f>6503500+2300000</f>
        <v>8803500</v>
      </c>
      <c r="Y143" s="16">
        <f t="shared" si="276"/>
        <v>13420.849232495422</v>
      </c>
      <c r="Z143" s="16">
        <f t="shared" si="277"/>
        <v>8803500</v>
      </c>
      <c r="AA143" s="16">
        <f t="shared" si="278"/>
        <v>13420.849232495422</v>
      </c>
      <c r="AB143" s="16">
        <f t="shared" si="279"/>
        <v>8196500</v>
      </c>
      <c r="AC143" s="13">
        <f t="shared" ref="AC143" si="317">+AB143/655.957</f>
        <v>12495.483697864342</v>
      </c>
      <c r="AD143" s="43">
        <f t="shared" si="281"/>
        <v>0.51785294117647063</v>
      </c>
    </row>
    <row r="144" spans="1:30 16373:16373" s="31" customFormat="1" ht="33.950000000000003" customHeight="1" collapsed="1">
      <c r="A144" s="56" t="s">
        <v>169</v>
      </c>
      <c r="B144" s="29"/>
      <c r="C144" s="30"/>
      <c r="D144" s="30"/>
      <c r="E144" s="30"/>
      <c r="F144" s="30"/>
      <c r="G144" s="30"/>
      <c r="H144" s="12" t="s">
        <v>88</v>
      </c>
      <c r="I144" s="3">
        <v>1</v>
      </c>
      <c r="J144" s="13">
        <v>15000000</v>
      </c>
      <c r="K144" s="30">
        <f t="shared" si="306"/>
        <v>22867.352585611556</v>
      </c>
      <c r="L144" s="13">
        <f>+L145+L146</f>
        <v>10000000</v>
      </c>
      <c r="M144" s="13">
        <f>+L144/655.957</f>
        <v>15244.901723741039</v>
      </c>
      <c r="N144" s="13"/>
      <c r="O144" s="13">
        <f t="shared" si="270"/>
        <v>0</v>
      </c>
      <c r="P144" s="13"/>
      <c r="Q144" s="13">
        <f t="shared" si="271"/>
        <v>0</v>
      </c>
      <c r="R144" s="13">
        <f t="shared" si="272"/>
        <v>0</v>
      </c>
      <c r="S144" s="12">
        <f t="shared" si="273"/>
        <v>0</v>
      </c>
      <c r="T144" s="13">
        <v>1138085.395</v>
      </c>
      <c r="U144" s="13">
        <f t="shared" si="274"/>
        <v>1735</v>
      </c>
      <c r="V144" s="13">
        <f t="shared" si="309"/>
        <v>1138085.395</v>
      </c>
      <c r="W144" s="13">
        <f t="shared" si="275"/>
        <v>1735</v>
      </c>
      <c r="X144" s="13">
        <f>+X145+X146</f>
        <v>12744450.15</v>
      </c>
      <c r="Y144" s="16">
        <f t="shared" si="276"/>
        <v>19428.789005986673</v>
      </c>
      <c r="Z144" s="16">
        <f>+V144+X144</f>
        <v>13882535.545</v>
      </c>
      <c r="AA144" s="16">
        <f t="shared" si="278"/>
        <v>21163.789005986673</v>
      </c>
      <c r="AB144" s="16">
        <f t="shared" si="279"/>
        <v>-3882535.5449999999</v>
      </c>
      <c r="AC144" s="13">
        <f t="shared" ref="AC144" si="318">+AB144/655.957</f>
        <v>-5918.8872822456351</v>
      </c>
      <c r="AD144" s="43">
        <f t="shared" si="281"/>
        <v>1.3882535545000001</v>
      </c>
    </row>
    <row r="145" spans="1:30" s="31" customFormat="1" ht="33.950000000000003" customHeight="1">
      <c r="A145" s="183" t="s">
        <v>170</v>
      </c>
      <c r="B145" s="29"/>
      <c r="C145" s="30"/>
      <c r="D145" s="30"/>
      <c r="E145" s="30"/>
      <c r="F145" s="30"/>
      <c r="G145" s="30"/>
      <c r="H145" s="12"/>
      <c r="I145" s="3"/>
      <c r="J145" s="13"/>
      <c r="K145" s="30"/>
      <c r="L145" s="13">
        <v>7000000</v>
      </c>
      <c r="M145" s="13">
        <f t="shared" si="316"/>
        <v>10671.431206618727</v>
      </c>
      <c r="N145" s="13"/>
      <c r="O145" s="13"/>
      <c r="P145" s="13"/>
      <c r="Q145" s="13"/>
      <c r="R145" s="13"/>
      <c r="S145" s="12"/>
      <c r="T145" s="13"/>
      <c r="U145" s="13"/>
      <c r="V145" s="13"/>
      <c r="W145" s="13"/>
      <c r="X145" s="16">
        <v>12744450.15</v>
      </c>
      <c r="Y145" s="16"/>
      <c r="Z145" s="16"/>
      <c r="AA145" s="16"/>
      <c r="AB145" s="16">
        <f t="shared" si="279"/>
        <v>7000000</v>
      </c>
      <c r="AC145" s="13"/>
      <c r="AD145" s="43">
        <f t="shared" si="281"/>
        <v>0</v>
      </c>
    </row>
    <row r="146" spans="1:30" s="31" customFormat="1" ht="33.950000000000003" customHeight="1">
      <c r="A146" s="183" t="s">
        <v>171</v>
      </c>
      <c r="B146" s="29"/>
      <c r="C146" s="30"/>
      <c r="D146" s="30"/>
      <c r="E146" s="30"/>
      <c r="F146" s="30"/>
      <c r="G146" s="30"/>
      <c r="H146" s="12"/>
      <c r="I146" s="3"/>
      <c r="J146" s="13"/>
      <c r="K146" s="30"/>
      <c r="L146" s="13">
        <v>3000000</v>
      </c>
      <c r="M146" s="13">
        <f t="shared" si="316"/>
        <v>4573.4705171223113</v>
      </c>
      <c r="N146" s="13"/>
      <c r="O146" s="13"/>
      <c r="P146" s="13"/>
      <c r="Q146" s="13"/>
      <c r="R146" s="13"/>
      <c r="S146" s="12"/>
      <c r="T146" s="13"/>
      <c r="U146" s="13"/>
      <c r="V146" s="13"/>
      <c r="W146" s="13"/>
      <c r="X146" s="16"/>
      <c r="Y146" s="16"/>
      <c r="Z146" s="16"/>
      <c r="AA146" s="16"/>
      <c r="AB146" s="16">
        <f t="shared" si="279"/>
        <v>3000000</v>
      </c>
      <c r="AC146" s="13"/>
      <c r="AD146" s="43">
        <f t="shared" si="281"/>
        <v>0</v>
      </c>
    </row>
    <row r="147" spans="1:30" s="31" customFormat="1" ht="27.6" customHeight="1">
      <c r="A147" s="56" t="s">
        <v>172</v>
      </c>
      <c r="B147" s="29"/>
      <c r="C147" s="30"/>
      <c r="D147" s="30"/>
      <c r="E147" s="30"/>
      <c r="F147" s="30"/>
      <c r="G147" s="30"/>
      <c r="H147" s="12" t="s">
        <v>88</v>
      </c>
      <c r="I147" s="3">
        <v>1</v>
      </c>
      <c r="J147" s="13">
        <v>60000000</v>
      </c>
      <c r="K147" s="30">
        <f t="shared" si="306"/>
        <v>91469.410342446223</v>
      </c>
      <c r="L147" s="13">
        <f>+L148+L149</f>
        <v>40000000</v>
      </c>
      <c r="M147" s="30">
        <f>+L147/655.957</f>
        <v>60979.606894964156</v>
      </c>
      <c r="N147" s="13"/>
      <c r="O147" s="13">
        <f t="shared" si="270"/>
        <v>0</v>
      </c>
      <c r="P147" s="13"/>
      <c r="Q147" s="13">
        <f t="shared" si="271"/>
        <v>0</v>
      </c>
      <c r="R147" s="13">
        <f t="shared" si="272"/>
        <v>0</v>
      </c>
      <c r="S147" s="12">
        <f t="shared" si="273"/>
        <v>0</v>
      </c>
      <c r="T147" s="13">
        <f>12670268+16720836</f>
        <v>29391104</v>
      </c>
      <c r="U147" s="13">
        <f t="shared" si="274"/>
        <v>44806.449203225209</v>
      </c>
      <c r="V147" s="13">
        <f>+R147+T147</f>
        <v>29391104</v>
      </c>
      <c r="W147" s="13">
        <f t="shared" si="275"/>
        <v>44806.449203225209</v>
      </c>
      <c r="X147" s="13">
        <f>+X148+X149</f>
        <v>40055094</v>
      </c>
      <c r="Y147" s="16">
        <f>+X147/655.957</f>
        <v>61063.597156520933</v>
      </c>
      <c r="Z147" s="16">
        <f>+V147+X147</f>
        <v>69446198</v>
      </c>
      <c r="AA147" s="16">
        <f>+Z147/655.957</f>
        <v>105870.04635974615</v>
      </c>
      <c r="AB147" s="16">
        <f t="shared" si="279"/>
        <v>-29446198</v>
      </c>
      <c r="AC147" s="13">
        <f t="shared" ref="AC147" si="319">+AB147/655.957</f>
        <v>-44890.439464781994</v>
      </c>
      <c r="AD147" s="43">
        <f t="shared" si="281"/>
        <v>1.73615495</v>
      </c>
    </row>
    <row r="148" spans="1:30" s="31" customFormat="1" ht="27.6" customHeight="1">
      <c r="A148" s="182" t="s">
        <v>173</v>
      </c>
      <c r="B148" s="29"/>
      <c r="C148" s="30"/>
      <c r="D148" s="30"/>
      <c r="E148" s="30"/>
      <c r="F148" s="30"/>
      <c r="G148" s="30"/>
      <c r="H148" s="12"/>
      <c r="I148" s="3"/>
      <c r="J148" s="13"/>
      <c r="K148" s="30"/>
      <c r="L148" s="13">
        <v>20000000</v>
      </c>
      <c r="M148" s="30">
        <f t="shared" si="316"/>
        <v>30489.803447482078</v>
      </c>
      <c r="N148" s="13"/>
      <c r="O148" s="13"/>
      <c r="P148" s="13"/>
      <c r="Q148" s="13"/>
      <c r="R148" s="13"/>
      <c r="S148" s="12"/>
      <c r="T148" s="13"/>
      <c r="U148" s="13"/>
      <c r="V148" s="13"/>
      <c r="W148" s="13"/>
      <c r="X148" s="16">
        <v>19116850</v>
      </c>
      <c r="Y148" s="16">
        <f t="shared" ref="Y148:Y149" si="320">+X148/655.957</f>
        <v>29143.449951749888</v>
      </c>
      <c r="Z148" s="16">
        <f t="shared" ref="Z148:Z149" si="321">+V148+X148</f>
        <v>19116850</v>
      </c>
      <c r="AA148" s="16"/>
      <c r="AB148" s="16">
        <f>+L148-Z148</f>
        <v>883150</v>
      </c>
      <c r="AC148" s="13"/>
      <c r="AD148" s="43">
        <f t="shared" si="281"/>
        <v>0.95584250000000004</v>
      </c>
    </row>
    <row r="149" spans="1:30" s="31" customFormat="1" ht="27.6" customHeight="1">
      <c r="A149" s="182" t="s">
        <v>174</v>
      </c>
      <c r="B149" s="29"/>
      <c r="C149" s="30"/>
      <c r="D149" s="30"/>
      <c r="E149" s="30"/>
      <c r="F149" s="30"/>
      <c r="G149" s="30"/>
      <c r="H149" s="12"/>
      <c r="I149" s="3"/>
      <c r="J149" s="13"/>
      <c r="K149" s="30"/>
      <c r="L149" s="13">
        <v>20000000</v>
      </c>
      <c r="M149" s="30">
        <f t="shared" si="316"/>
        <v>30489.803447482078</v>
      </c>
      <c r="N149" s="13"/>
      <c r="O149" s="13"/>
      <c r="P149" s="13"/>
      <c r="Q149" s="13"/>
      <c r="R149" s="13"/>
      <c r="S149" s="12"/>
      <c r="T149" s="13"/>
      <c r="U149" s="13"/>
      <c r="V149" s="13"/>
      <c r="W149" s="13"/>
      <c r="X149" s="16">
        <v>20938244</v>
      </c>
      <c r="Y149" s="16">
        <f t="shared" si="320"/>
        <v>31920.147204771045</v>
      </c>
      <c r="Z149" s="16">
        <f t="shared" si="321"/>
        <v>20938244</v>
      </c>
      <c r="AA149" s="16"/>
      <c r="AB149" s="16">
        <f t="shared" si="279"/>
        <v>-938244</v>
      </c>
      <c r="AC149" s="13"/>
      <c r="AD149" s="43">
        <f t="shared" si="281"/>
        <v>1.0469122</v>
      </c>
    </row>
    <row r="150" spans="1:30" ht="27.6" customHeight="1">
      <c r="A150" s="63" t="s">
        <v>175</v>
      </c>
      <c r="B150" s="20"/>
      <c r="C150" s="17"/>
      <c r="D150" s="17"/>
      <c r="E150" s="18">
        <f>SUM(E119:E127)</f>
        <v>230194</v>
      </c>
      <c r="F150" s="18">
        <f>+E150*655.957</f>
        <v>150997365.65799999</v>
      </c>
      <c r="G150" s="19">
        <f>F150/$F$159</f>
        <v>0.21096822369086338</v>
      </c>
      <c r="H150" s="20"/>
      <c r="I150" s="17"/>
      <c r="J150" s="17"/>
      <c r="K150" s="17"/>
      <c r="L150" s="18">
        <f t="shared" ref="L150:S150" si="322">L119+L120+L127+L134+L143+L144+L147</f>
        <v>487915000</v>
      </c>
      <c r="M150" s="18">
        <f t="shared" si="322"/>
        <v>715771.00328222744</v>
      </c>
      <c r="N150" s="18">
        <f t="shared" si="322"/>
        <v>34875631</v>
      </c>
      <c r="O150" s="18">
        <f t="shared" si="322"/>
        <v>53167.556714845632</v>
      </c>
      <c r="P150" s="18">
        <f t="shared" si="322"/>
        <v>71056962</v>
      </c>
      <c r="Q150" s="18">
        <f t="shared" si="322"/>
        <v>108325.64024776015</v>
      </c>
      <c r="R150" s="18">
        <f t="shared" si="322"/>
        <v>105932593</v>
      </c>
      <c r="S150" s="18">
        <f t="shared" si="322"/>
        <v>161493.19696260578</v>
      </c>
      <c r="T150" s="18">
        <f t="shared" ref="T150:W150" si="323">T119+T120+T127+T134+T143+T144+T147</f>
        <v>148321913.43699998</v>
      </c>
      <c r="U150" s="18">
        <f t="shared" si="323"/>
        <v>226115.29938242902</v>
      </c>
      <c r="V150" s="18">
        <f t="shared" si="323"/>
        <v>254254506.43700001</v>
      </c>
      <c r="W150" s="18">
        <f t="shared" si="323"/>
        <v>387608.4963450348</v>
      </c>
      <c r="X150" s="18">
        <f>X119+X120+X127+X134+X143+X144+X147</f>
        <v>165973717.09</v>
      </c>
      <c r="Y150" s="18">
        <f t="shared" ref="Y150:AA150" si="324">Y119+Y120+Y127+Y134+Y143+Y144+Y147</f>
        <v>253025.30057610484</v>
      </c>
      <c r="Z150" s="18">
        <f t="shared" si="324"/>
        <v>420228223.52700001</v>
      </c>
      <c r="AA150" s="18">
        <f t="shared" si="324"/>
        <v>640633.79692113958</v>
      </c>
      <c r="AB150" s="18">
        <f>AB119+AB120+AB127+AB134+AB143+AB144+AB147</f>
        <v>67686776.47299999</v>
      </c>
      <c r="AC150" s="18">
        <f>AC119+AC120+AC127+AC134+AC143+AC144+AC147</f>
        <v>100199.60436888394</v>
      </c>
      <c r="AD150" s="47">
        <f>+Z150/L150</f>
        <v>0.86127342575448596</v>
      </c>
    </row>
    <row r="151" spans="1:30" ht="27.6" customHeight="1" collapsed="1">
      <c r="A151" s="203" t="s">
        <v>176</v>
      </c>
      <c r="B151" s="203"/>
      <c r="C151" s="203"/>
      <c r="D151" s="203"/>
      <c r="E151" s="24">
        <f>E72+E97+E117+E150</f>
        <v>616196.00922316557</v>
      </c>
      <c r="F151" s="24">
        <f>+E151*655.957</f>
        <v>404198085.62200004</v>
      </c>
      <c r="G151" s="24">
        <f>F151/$F$159</f>
        <v>0.564731389659201</v>
      </c>
      <c r="H151" s="22"/>
      <c r="I151" s="23"/>
      <c r="J151" s="23"/>
      <c r="K151" s="23"/>
      <c r="L151" s="24">
        <f>L72+L97+L117+L150+L53</f>
        <v>1071540590</v>
      </c>
      <c r="M151" s="24">
        <f>M72+M97+M117+M150+M53</f>
        <v>1605502.4795832653</v>
      </c>
      <c r="N151" s="24">
        <f t="shared" ref="N151" si="325">N72+N97+N117+N150+N53</f>
        <v>72839326</v>
      </c>
      <c r="O151" s="24">
        <f>O72+O97+O117+O150+O53</f>
        <v>111042.83664935353</v>
      </c>
      <c r="P151" s="24">
        <f>P72+P97+P117+P150+P53</f>
        <v>153346355</v>
      </c>
      <c r="Q151" s="24">
        <f>Q72+Q97+Q117+Q150+Q53</f>
        <v>233775.0111668905</v>
      </c>
      <c r="R151" s="24">
        <f t="shared" ref="R151:W151" si="326">R72+R97+R117+R150</f>
        <v>226185681</v>
      </c>
      <c r="S151" s="24">
        <f t="shared" si="326"/>
        <v>344817.847816244</v>
      </c>
      <c r="T151" s="24">
        <f t="shared" si="326"/>
        <v>381558383.57255995</v>
      </c>
      <c r="U151" s="24">
        <f t="shared" si="326"/>
        <v>581682.00594331638</v>
      </c>
      <c r="V151" s="24">
        <f t="shared" si="326"/>
        <v>607744064.57255995</v>
      </c>
      <c r="W151" s="24">
        <f t="shared" si="326"/>
        <v>926499.8537595605</v>
      </c>
      <c r="X151" s="24">
        <f t="shared" ref="X151:AA151" si="327">X72+X97+X117+X150</f>
        <v>332015852.75259995</v>
      </c>
      <c r="Y151" s="24">
        <f t="shared" si="327"/>
        <v>486839.61410976632</v>
      </c>
      <c r="Z151" s="24">
        <f t="shared" si="327"/>
        <v>939759917.32516003</v>
      </c>
      <c r="AA151" s="24">
        <f t="shared" si="327"/>
        <v>1432654.7583533064</v>
      </c>
      <c r="AB151" s="24">
        <f>L151-Z151</f>
        <v>131780672.67483997</v>
      </c>
      <c r="AC151" s="24">
        <f>AC72+AC97+AC117+AC150</f>
        <v>266283.54920343863</v>
      </c>
      <c r="AD151" s="48">
        <f>+Z151/L151</f>
        <v>0.87701756339921755</v>
      </c>
    </row>
    <row r="152" spans="1:30" s="28" customFormat="1" ht="27.95" customHeight="1">
      <c r="A152" s="71" t="s">
        <v>177</v>
      </c>
      <c r="B152" s="26"/>
      <c r="C152" s="27"/>
      <c r="D152" s="27"/>
      <c r="E152" s="30">
        <f>E54+E151</f>
        <v>1019747.0092231656</v>
      </c>
      <c r="F152" s="30">
        <f>+E152*655.957</f>
        <v>668910188.92900002</v>
      </c>
      <c r="G152" s="30">
        <f>F152/$F$159</f>
        <v>0.93457785672033911</v>
      </c>
      <c r="H152" s="26"/>
      <c r="I152" s="27"/>
      <c r="J152" s="27"/>
      <c r="K152" s="27"/>
      <c r="L152" s="30">
        <f>L54+L151</f>
        <v>1493724334.2620001</v>
      </c>
      <c r="M152" s="30">
        <f>M54+M151</f>
        <v>2249117.4486467862</v>
      </c>
      <c r="N152" s="30">
        <f>N54+N151</f>
        <v>141920165.96000001</v>
      </c>
      <c r="O152" s="30">
        <f>+N152/655.957</f>
        <v>216355.89826772184</v>
      </c>
      <c r="P152" s="30">
        <f t="shared" ref="P152:U152" si="328">P54+P151</f>
        <v>220755546</v>
      </c>
      <c r="Q152" s="30">
        <f t="shared" si="328"/>
        <v>336539.66037407937</v>
      </c>
      <c r="R152" s="30">
        <f t="shared" si="328"/>
        <v>362675711.96000004</v>
      </c>
      <c r="S152" s="30">
        <f t="shared" si="328"/>
        <v>552895.55864180124</v>
      </c>
      <c r="T152" s="30">
        <f t="shared" si="328"/>
        <v>467569904.07255995</v>
      </c>
      <c r="U152" s="30">
        <f t="shared" si="328"/>
        <v>712805.72365652013</v>
      </c>
      <c r="V152" s="16">
        <f>+R152+T152</f>
        <v>830245616.03255999</v>
      </c>
      <c r="W152" s="16">
        <f>+V152/655.957</f>
        <v>1265701.2822983214</v>
      </c>
      <c r="X152" s="30">
        <f t="shared" ref="X152:Y152" si="329">X54+X151</f>
        <v>413511750.45219994</v>
      </c>
      <c r="Y152" s="30">
        <f t="shared" si="329"/>
        <v>611079.30924161186</v>
      </c>
      <c r="Z152" s="16">
        <f>+V152+X152</f>
        <v>1243757366.4847598</v>
      </c>
      <c r="AA152" s="16">
        <f>+Z152/655.957</f>
        <v>1896095.8820239129</v>
      </c>
      <c r="AB152" s="30">
        <f>AB54+AB151</f>
        <v>249966967.77723998</v>
      </c>
      <c r="AC152" s="30">
        <f>AC54+AC151</f>
        <v>446457.39459635312</v>
      </c>
      <c r="AD152" s="50">
        <f>+Z152/L152</f>
        <v>0.83265522155348648</v>
      </c>
    </row>
    <row r="153" spans="1:30" ht="27.95" customHeight="1">
      <c r="A153" s="62" t="s">
        <v>178</v>
      </c>
      <c r="B153" s="15"/>
      <c r="C153" s="52"/>
      <c r="D153" s="52"/>
      <c r="E153" s="16">
        <f>E152*0/100</f>
        <v>0</v>
      </c>
      <c r="F153" s="16">
        <f t="shared" si="291"/>
        <v>0</v>
      </c>
      <c r="G153" s="16"/>
      <c r="H153" s="15"/>
      <c r="I153" s="52"/>
      <c r="J153" s="52"/>
      <c r="K153" s="52"/>
      <c r="L153" s="16">
        <v>0</v>
      </c>
      <c r="M153" s="16">
        <f>+L153*655.957</f>
        <v>0</v>
      </c>
      <c r="N153" s="16"/>
      <c r="O153" s="16">
        <f>+N153/655.957</f>
        <v>0</v>
      </c>
      <c r="P153" s="16"/>
      <c r="Q153" s="16">
        <f>+P153/655.957</f>
        <v>0</v>
      </c>
      <c r="R153" s="16">
        <f>N153+P153</f>
        <v>0</v>
      </c>
      <c r="S153" s="15">
        <f>+R153/655.957</f>
        <v>0</v>
      </c>
      <c r="T153" s="16"/>
      <c r="U153" s="16">
        <f>+T153/655.957</f>
        <v>0</v>
      </c>
      <c r="V153" s="16">
        <f>+R153+T153</f>
        <v>0</v>
      </c>
      <c r="W153" s="16"/>
      <c r="X153" s="16"/>
      <c r="Y153" s="16">
        <f t="shared" ref="Y153" si="330">+X153/655.957</f>
        <v>0</v>
      </c>
      <c r="Z153" s="16">
        <f t="shared" ref="Z153" si="331">+V153+X153</f>
        <v>0</v>
      </c>
      <c r="AA153" s="16">
        <f t="shared" ref="AA153" si="332">+Z153/655.957</f>
        <v>0</v>
      </c>
      <c r="AB153" s="16"/>
      <c r="AC153" s="16"/>
      <c r="AD153" s="43"/>
    </row>
    <row r="154" spans="1:30" s="28" customFormat="1" ht="27.95" customHeight="1">
      <c r="A154" s="72" t="s">
        <v>179</v>
      </c>
      <c r="B154" s="23"/>
      <c r="C154" s="23"/>
      <c r="D154" s="23"/>
      <c r="E154" s="24">
        <f>E152+E153</f>
        <v>1019747.0092231656</v>
      </c>
      <c r="F154" s="24">
        <f>+E154*655.957</f>
        <v>668910188.92900002</v>
      </c>
      <c r="G154" s="24">
        <f>F154/$F$159</f>
        <v>0.93457785672033911</v>
      </c>
      <c r="H154" s="22"/>
      <c r="I154" s="23"/>
      <c r="J154" s="23"/>
      <c r="K154" s="23"/>
      <c r="L154" s="24">
        <f>L152+L153</f>
        <v>1493724334.2620001</v>
      </c>
      <c r="M154" s="24">
        <f>M152+M153</f>
        <v>2249117.4486467862</v>
      </c>
      <c r="N154" s="24">
        <f t="shared" ref="N154:S154" si="333">N152+N153</f>
        <v>141920165.96000001</v>
      </c>
      <c r="O154" s="24">
        <f>O152+O153</f>
        <v>216355.89826772184</v>
      </c>
      <c r="P154" s="24">
        <f t="shared" si="333"/>
        <v>220755546</v>
      </c>
      <c r="Q154" s="24">
        <f t="shared" si="333"/>
        <v>336539.66037407937</v>
      </c>
      <c r="R154" s="24">
        <f>R152+R153</f>
        <v>362675711.96000004</v>
      </c>
      <c r="S154" s="24">
        <f t="shared" si="333"/>
        <v>552895.55864180124</v>
      </c>
      <c r="T154" s="24">
        <f t="shared" ref="T154:AB154" si="334">T152+T153</f>
        <v>467569904.07255995</v>
      </c>
      <c r="U154" s="24">
        <f t="shared" si="334"/>
        <v>712805.72365652013</v>
      </c>
      <c r="V154" s="24">
        <f t="shared" si="334"/>
        <v>830245616.03255999</v>
      </c>
      <c r="W154" s="24">
        <f t="shared" si="334"/>
        <v>1265701.2822983214</v>
      </c>
      <c r="X154" s="24">
        <f t="shared" si="334"/>
        <v>413511750.45219994</v>
      </c>
      <c r="Y154" s="24">
        <f t="shared" si="334"/>
        <v>611079.30924161186</v>
      </c>
      <c r="Z154" s="24">
        <f t="shared" si="334"/>
        <v>1243757366.4847598</v>
      </c>
      <c r="AA154" s="24">
        <f t="shared" si="334"/>
        <v>1896095.8820239129</v>
      </c>
      <c r="AB154" s="24">
        <f t="shared" si="334"/>
        <v>249966967.77723998</v>
      </c>
      <c r="AC154" s="24">
        <f t="shared" ref="AC154" si="335">AC152+AC153</f>
        <v>446457.39459635312</v>
      </c>
      <c r="AD154" s="189">
        <f>+Z154/L154</f>
        <v>0.83265522155348648</v>
      </c>
    </row>
    <row r="155" spans="1:30" s="28" customFormat="1" ht="27.95" customHeight="1">
      <c r="A155" s="73" t="s">
        <v>180</v>
      </c>
      <c r="B155" s="26"/>
      <c r="C155" s="27"/>
      <c r="D155" s="27"/>
      <c r="E155" s="27">
        <f>E154*7/100</f>
        <v>71382.290645621586</v>
      </c>
      <c r="F155" s="27">
        <f>+E155*655.957</f>
        <v>46823713.225029998</v>
      </c>
      <c r="G155" s="30">
        <f>F155/$F$159</f>
        <v>6.5420449970423733E-2</v>
      </c>
      <c r="H155" s="26"/>
      <c r="I155" s="27"/>
      <c r="J155" s="27"/>
      <c r="K155" s="27"/>
      <c r="L155" s="27">
        <f>+L154*7.00019808419029%</f>
        <v>104563662.23009269</v>
      </c>
      <c r="M155" s="27">
        <f>+M154*7%</f>
        <v>157438.22140527505</v>
      </c>
      <c r="N155" s="27">
        <f>+N154*0.07</f>
        <v>9934411.6172000021</v>
      </c>
      <c r="O155" s="16">
        <f>+N155/655.957</f>
        <v>15144.91287874053</v>
      </c>
      <c r="P155" s="27">
        <f>+P154*0.07</f>
        <v>15452888.220000001</v>
      </c>
      <c r="Q155" s="16">
        <f>+P155/655.957</f>
        <v>23557.776226185561</v>
      </c>
      <c r="R155" s="16">
        <f>N155+P155</f>
        <v>25387299.837200001</v>
      </c>
      <c r="S155" s="15">
        <f>+R155/655.957</f>
        <v>38702.689104926088</v>
      </c>
      <c r="T155" s="27">
        <f>+T154*7%</f>
        <v>32729893.2850792</v>
      </c>
      <c r="U155" s="16">
        <f>+T155/655.957</f>
        <v>49896.400655956415</v>
      </c>
      <c r="V155" s="27">
        <f>+V154*7%</f>
        <v>58117193.122279204</v>
      </c>
      <c r="W155" s="16">
        <f t="shared" ref="W155" si="336">+V155/655.957</f>
        <v>88599.089760882503</v>
      </c>
      <c r="X155" s="27">
        <f>+X154*7%</f>
        <v>28945822.531653997</v>
      </c>
      <c r="Y155" s="16">
        <f>+X155/655.957</f>
        <v>44127.621980791417</v>
      </c>
      <c r="Z155" s="16">
        <f>+V155+X155</f>
        <v>87063015.653933197</v>
      </c>
      <c r="AA155" s="16">
        <f>+Z155/655.957</f>
        <v>132726.71174167391</v>
      </c>
      <c r="AB155" s="16">
        <f>+L155-Z155</f>
        <v>17500646.576159492</v>
      </c>
      <c r="AC155" s="16">
        <f t="shared" ref="AC155" si="337">+AB155/655.957</f>
        <v>26679.563715547654</v>
      </c>
      <c r="AD155" s="43"/>
    </row>
    <row r="156" spans="1:30" s="28" customFormat="1" ht="27.95" customHeight="1">
      <c r="A156" s="72" t="s">
        <v>181</v>
      </c>
      <c r="B156" s="23"/>
      <c r="C156" s="23"/>
      <c r="D156" s="23"/>
      <c r="E156" s="24">
        <f>E154+E155</f>
        <v>1091129.2998687872</v>
      </c>
      <c r="F156" s="24">
        <f>+E156*655.957</f>
        <v>715733902.15402997</v>
      </c>
      <c r="G156" s="24">
        <f>F156/$F$159</f>
        <v>0.99999830669076273</v>
      </c>
      <c r="H156" s="22"/>
      <c r="I156" s="23"/>
      <c r="J156" s="23"/>
      <c r="K156" s="23"/>
      <c r="L156" s="24">
        <f>L154+L155</f>
        <v>1598287996.4920928</v>
      </c>
      <c r="M156" s="24">
        <f t="shared" ref="M156:AC156" si="338">M154+M155</f>
        <v>2406555.6700520613</v>
      </c>
      <c r="N156" s="24">
        <f t="shared" si="338"/>
        <v>151854577.5772</v>
      </c>
      <c r="O156" s="24">
        <f t="shared" si="338"/>
        <v>231500.81114646237</v>
      </c>
      <c r="P156" s="24">
        <f t="shared" si="338"/>
        <v>236208434.22</v>
      </c>
      <c r="Q156" s="24">
        <f t="shared" si="338"/>
        <v>360097.43660026492</v>
      </c>
      <c r="R156" s="24">
        <f t="shared" si="338"/>
        <v>388063011.79720002</v>
      </c>
      <c r="S156" s="24">
        <f t="shared" si="338"/>
        <v>591598.24774672731</v>
      </c>
      <c r="T156" s="24">
        <f>T154+T155</f>
        <v>500299797.35763913</v>
      </c>
      <c r="U156" s="24">
        <f t="shared" si="338"/>
        <v>762702.12431247649</v>
      </c>
      <c r="V156" s="24">
        <f>V154+V155</f>
        <v>888362809.15483916</v>
      </c>
      <c r="W156" s="24">
        <f t="shared" si="338"/>
        <v>1354300.3720592039</v>
      </c>
      <c r="X156" s="24">
        <f>X154+X155</f>
        <v>442457572.98385394</v>
      </c>
      <c r="Y156" s="24">
        <f t="shared" ref="Y156" si="339">Y154+Y155</f>
        <v>655206.93122240331</v>
      </c>
      <c r="Z156" s="24">
        <f>Z154+Z155</f>
        <v>1330820382.1386931</v>
      </c>
      <c r="AA156" s="24">
        <f>AA154+AA155</f>
        <v>2028822.5937655868</v>
      </c>
      <c r="AB156" s="24">
        <f>AB154+AB155</f>
        <v>267467614.35339946</v>
      </c>
      <c r="AC156" s="24">
        <f t="shared" si="338"/>
        <v>473136.95831190079</v>
      </c>
      <c r="AD156" s="189">
        <f>+Z156/L156</f>
        <v>0.83265368009993501</v>
      </c>
    </row>
    <row r="157" spans="1:30" ht="27.95" customHeight="1">
      <c r="A157" s="62" t="s">
        <v>182</v>
      </c>
      <c r="B157" s="15"/>
      <c r="C157" s="52"/>
      <c r="D157" s="52"/>
      <c r="E157" s="52"/>
      <c r="F157" s="52">
        <f t="shared" si="291"/>
        <v>0</v>
      </c>
      <c r="G157" s="52"/>
      <c r="H157" s="15"/>
      <c r="I157" s="52"/>
      <c r="J157" s="52"/>
      <c r="K157" s="52"/>
      <c r="L157" s="52"/>
      <c r="M157" s="52"/>
      <c r="N157" s="52"/>
      <c r="O157" s="52"/>
      <c r="P157" s="52"/>
      <c r="Q157" s="52"/>
      <c r="R157" s="52"/>
      <c r="S157" s="15"/>
      <c r="T157" s="52"/>
      <c r="U157" s="52"/>
      <c r="V157" s="52"/>
      <c r="W157" s="52"/>
      <c r="X157" s="52"/>
      <c r="Y157" s="52"/>
      <c r="Z157" s="16">
        <f t="shared" ref="Z157:Z158" si="340">+V157+X157</f>
        <v>0</v>
      </c>
      <c r="AA157" s="16">
        <f t="shared" ref="AA157:AA158" si="341">+Z157/655.957</f>
        <v>0</v>
      </c>
      <c r="AB157" s="52"/>
      <c r="AC157" s="52"/>
      <c r="AD157" s="49"/>
    </row>
    <row r="158" spans="1:30" ht="27.95" customHeight="1">
      <c r="A158" s="62" t="s">
        <v>183</v>
      </c>
      <c r="B158" s="15"/>
      <c r="C158" s="52"/>
      <c r="D158" s="52"/>
      <c r="E158" s="52"/>
      <c r="F158" s="52">
        <f t="shared" si="291"/>
        <v>0</v>
      </c>
      <c r="G158" s="52"/>
      <c r="H158" s="15"/>
      <c r="I158" s="52"/>
      <c r="J158" s="52"/>
      <c r="K158" s="52"/>
      <c r="L158" s="52"/>
      <c r="M158" s="52"/>
      <c r="N158" s="52"/>
      <c r="O158" s="52"/>
      <c r="P158" s="52"/>
      <c r="Q158" s="52"/>
      <c r="R158" s="52"/>
      <c r="S158" s="15"/>
      <c r="T158" s="52"/>
      <c r="U158" s="52"/>
      <c r="V158" s="52"/>
      <c r="W158" s="52" t="s">
        <v>2</v>
      </c>
      <c r="X158" s="52"/>
      <c r="Y158" s="52"/>
      <c r="Z158" s="16">
        <f t="shared" si="340"/>
        <v>0</v>
      </c>
      <c r="AA158" s="16">
        <f t="shared" si="341"/>
        <v>0</v>
      </c>
      <c r="AB158" s="52"/>
      <c r="AC158" s="52"/>
      <c r="AD158" s="49"/>
    </row>
    <row r="159" spans="1:30" ht="27.95" customHeight="1">
      <c r="A159" s="74" t="s">
        <v>184</v>
      </c>
      <c r="B159" s="39"/>
      <c r="C159" s="40"/>
      <c r="D159" s="40"/>
      <c r="E159" s="41">
        <f>E156+1.84</f>
        <v>1091131.1398687873</v>
      </c>
      <c r="F159" s="41">
        <f>+E159*655.957+5</f>
        <v>715735114.11491013</v>
      </c>
      <c r="G159" s="41">
        <v>1</v>
      </c>
      <c r="H159" s="39"/>
      <c r="I159" s="40"/>
      <c r="J159" s="40"/>
      <c r="K159" s="40"/>
      <c r="L159" s="41">
        <f>L156</f>
        <v>1598287996.4920928</v>
      </c>
      <c r="M159" s="41">
        <f>M156</f>
        <v>2406555.6700520613</v>
      </c>
      <c r="N159" s="41">
        <f t="shared" ref="N159:Q159" si="342">N156</f>
        <v>151854577.5772</v>
      </c>
      <c r="O159" s="41">
        <f t="shared" si="342"/>
        <v>231500.81114646237</v>
      </c>
      <c r="P159" s="41">
        <f>P156</f>
        <v>236208434.22</v>
      </c>
      <c r="Q159" s="41">
        <f t="shared" si="342"/>
        <v>360097.43660026492</v>
      </c>
      <c r="R159" s="41">
        <f>N159+P159</f>
        <v>388063011.79719996</v>
      </c>
      <c r="S159" s="41">
        <f>+R159/655.957</f>
        <v>591598.2477467272</v>
      </c>
      <c r="T159" s="41">
        <f>T156</f>
        <v>500299797.35763913</v>
      </c>
      <c r="U159" s="41">
        <f t="shared" ref="U159:AC159" si="343">U156</f>
        <v>762702.12431247649</v>
      </c>
      <c r="V159" s="41">
        <f>V156</f>
        <v>888362809.15483916</v>
      </c>
      <c r="W159" s="41">
        <f t="shared" si="343"/>
        <v>1354300.3720592039</v>
      </c>
      <c r="X159" s="41">
        <f>X156</f>
        <v>442457572.98385394</v>
      </c>
      <c r="Y159" s="41">
        <f t="shared" si="343"/>
        <v>655206.93122240331</v>
      </c>
      <c r="Z159" s="41">
        <f>Z156</f>
        <v>1330820382.1386931</v>
      </c>
      <c r="AA159" s="41">
        <f t="shared" si="343"/>
        <v>2028822.5937655868</v>
      </c>
      <c r="AB159" s="41">
        <f>AB156</f>
        <v>267467614.35339946</v>
      </c>
      <c r="AC159" s="41">
        <f t="shared" si="343"/>
        <v>473136.95831190079</v>
      </c>
      <c r="AD159" s="188">
        <f>+Z159/L159</f>
        <v>0.83265368009993501</v>
      </c>
    </row>
    <row r="163" spans="28:28">
      <c r="AB163" s="1">
        <f>+AB159+Z159</f>
        <v>1598287996.4920926</v>
      </c>
    </row>
  </sheetData>
  <mergeCells count="18">
    <mergeCell ref="B75:F75"/>
    <mergeCell ref="B4:G4"/>
    <mergeCell ref="H4:M4"/>
    <mergeCell ref="A151:D151"/>
    <mergeCell ref="B117:D117"/>
    <mergeCell ref="H117:J117"/>
    <mergeCell ref="B93:F93"/>
    <mergeCell ref="B79:F79"/>
    <mergeCell ref="AD4:AD5"/>
    <mergeCell ref="T4:U4"/>
    <mergeCell ref="V4:W4"/>
    <mergeCell ref="AB4:AC4"/>
    <mergeCell ref="H3:M3"/>
    <mergeCell ref="N4:O4"/>
    <mergeCell ref="P4:Q4"/>
    <mergeCell ref="R4:S4"/>
    <mergeCell ref="X4:Y4"/>
    <mergeCell ref="Z4:AA4"/>
  </mergeCells>
  <pageMargins left="0.70866141732283472" right="0.70866141732283472" top="0.74803149606299213" bottom="0.74803149606299213" header="0.31496062992125984" footer="0.31496062992125984"/>
  <pageSetup paperSize="9" scale="32" fitToHeight="0" orientation="landscape" r:id="rId1"/>
  <headerFooter>
    <oddFooter>&amp;L&amp;F</oddFooter>
  </headerFooter>
  <rowBreaks count="1" manualBreakCount="1">
    <brk id="122" max="2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358A1-A068-421F-8858-735F78B8C699}">
  <dimension ref="B3:I27"/>
  <sheetViews>
    <sheetView topLeftCell="A24" workbookViewId="0">
      <selection activeCell="K8" sqref="K8"/>
    </sheetView>
  </sheetViews>
  <sheetFormatPr defaultColWidth="10.85546875" defaultRowHeight="14.45"/>
  <cols>
    <col min="1" max="1" width="3.5703125" style="88" customWidth="1"/>
    <col min="2" max="2" width="47.42578125" style="89" customWidth="1"/>
    <col min="3" max="8" width="12.7109375" style="88" customWidth="1"/>
    <col min="9" max="9" width="14" style="88" customWidth="1"/>
    <col min="10" max="16384" width="10.85546875" style="88"/>
  </cols>
  <sheetData>
    <row r="3" spans="2:9" ht="15.6">
      <c r="B3" s="77" t="s">
        <v>0</v>
      </c>
    </row>
    <row r="6" spans="2:9" ht="15" thickBot="1"/>
    <row r="7" spans="2:9" ht="32.450000000000003" customHeight="1" thickBot="1">
      <c r="B7" s="90" t="s">
        <v>5</v>
      </c>
      <c r="C7" s="204" t="s">
        <v>202</v>
      </c>
      <c r="D7" s="205"/>
      <c r="E7" s="204" t="s">
        <v>9</v>
      </c>
      <c r="F7" s="205"/>
      <c r="G7" s="204" t="s">
        <v>10</v>
      </c>
      <c r="H7" s="205"/>
      <c r="I7" s="206" t="s">
        <v>203</v>
      </c>
    </row>
    <row r="8" spans="2:9" ht="21.6" customHeight="1" thickBot="1">
      <c r="B8" s="91" t="s">
        <v>12</v>
      </c>
      <c r="C8" s="92" t="s">
        <v>24</v>
      </c>
      <c r="D8" s="93" t="s">
        <v>25</v>
      </c>
      <c r="E8" s="92" t="s">
        <v>24</v>
      </c>
      <c r="F8" s="93" t="s">
        <v>25</v>
      </c>
      <c r="G8" s="94" t="s">
        <v>24</v>
      </c>
      <c r="H8" s="93" t="s">
        <v>25</v>
      </c>
      <c r="I8" s="207"/>
    </row>
    <row r="9" spans="2:9">
      <c r="B9" s="95" t="s">
        <v>26</v>
      </c>
      <c r="C9" s="96">
        <f>+'Rapport Financier 2025'!K22</f>
        <v>62322950.399999999</v>
      </c>
      <c r="D9" s="97">
        <f>C9/655.957</f>
        <v>95010.725398158713</v>
      </c>
      <c r="E9" s="98">
        <f>+'Rapport Financier 2025'!P22</f>
        <v>63753590.749600001</v>
      </c>
      <c r="F9" s="97">
        <f>E9/655.957</f>
        <v>97191.722551325773</v>
      </c>
      <c r="G9" s="99">
        <f>+C9-E9</f>
        <v>-1430640.3496000022</v>
      </c>
      <c r="H9" s="97">
        <f>G9/655.957</f>
        <v>-2180.9971531670553</v>
      </c>
      <c r="I9" s="100">
        <f>+E9/C9</f>
        <v>1.0229552731444498</v>
      </c>
    </row>
    <row r="10" spans="2:9">
      <c r="B10" s="101" t="s">
        <v>204</v>
      </c>
      <c r="C10" s="102">
        <f>+'Rapport Financier 2025'!K26</f>
        <v>3935736</v>
      </c>
      <c r="D10" s="103">
        <f t="shared" ref="D10:F26" si="0">C10/655.957</f>
        <v>5999.9908530589655</v>
      </c>
      <c r="E10" s="104">
        <f>+'Rapport Financier 2025'!P26</f>
        <v>3890686.1399999997</v>
      </c>
      <c r="F10" s="103">
        <f t="shared" si="0"/>
        <v>5931.3127842221356</v>
      </c>
      <c r="G10" s="105">
        <f t="shared" ref="G10:G18" si="1">+C10-E10</f>
        <v>45049.860000000335</v>
      </c>
      <c r="H10" s="103">
        <f t="shared" ref="H10:H27" si="2">G10/655.957</f>
        <v>68.678068836829752</v>
      </c>
      <c r="I10" s="100">
        <f t="shared" ref="I10:I18" si="3">+E10/C10</f>
        <v>0.98855363774399496</v>
      </c>
    </row>
    <row r="11" spans="2:9">
      <c r="B11" s="101" t="s">
        <v>48</v>
      </c>
      <c r="C11" s="102">
        <f>+'Rapport Financier 2025'!K44</f>
        <v>9277910.9807999991</v>
      </c>
      <c r="D11" s="103">
        <f t="shared" si="0"/>
        <v>14144.084110391381</v>
      </c>
      <c r="E11" s="104">
        <f>+'Rapport Financier 2025'!P44</f>
        <v>8727099.8100000005</v>
      </c>
      <c r="F11" s="103">
        <f t="shared" si="0"/>
        <v>13304.377893672909</v>
      </c>
      <c r="G11" s="105">
        <f t="shared" si="1"/>
        <v>550811.17079999857</v>
      </c>
      <c r="H11" s="103">
        <f t="shared" si="2"/>
        <v>839.70621671847175</v>
      </c>
      <c r="I11" s="100">
        <v>0</v>
      </c>
    </row>
    <row r="12" spans="2:9">
      <c r="B12" s="101" t="s">
        <v>205</v>
      </c>
      <c r="C12" s="102">
        <f>+'Rapport Financier 2025'!K50</f>
        <v>5004298</v>
      </c>
      <c r="D12" s="103">
        <f t="shared" si="0"/>
        <v>7629.0031206313834</v>
      </c>
      <c r="E12" s="104">
        <f>+'Rapport Financier 2025'!P50</f>
        <v>5124521</v>
      </c>
      <c r="F12" s="103">
        <f t="shared" si="0"/>
        <v>7812.2819026247153</v>
      </c>
      <c r="G12" s="105">
        <f t="shared" si="1"/>
        <v>-120223</v>
      </c>
      <c r="H12" s="103">
        <f t="shared" si="2"/>
        <v>-183.27878199333188</v>
      </c>
      <c r="I12" s="100">
        <f t="shared" si="3"/>
        <v>1.024023949013428</v>
      </c>
    </row>
    <row r="13" spans="2:9">
      <c r="B13" s="101" t="s">
        <v>206</v>
      </c>
      <c r="C13" s="102">
        <f>+'Rapport Financier 2025'!K53</f>
        <v>0</v>
      </c>
      <c r="D13" s="103">
        <f>C13/655.957</f>
        <v>0</v>
      </c>
      <c r="E13" s="104">
        <f>+'Rapport Financier 2025'!P53</f>
        <v>0</v>
      </c>
      <c r="F13" s="103">
        <f t="shared" si="0"/>
        <v>0</v>
      </c>
      <c r="G13" s="105">
        <f t="shared" si="1"/>
        <v>0</v>
      </c>
      <c r="H13" s="103">
        <f t="shared" si="2"/>
        <v>0</v>
      </c>
      <c r="I13" s="100" t="e">
        <f t="shared" si="3"/>
        <v>#DIV/0!</v>
      </c>
    </row>
    <row r="14" spans="2:9" s="106" customFormat="1" ht="18.95" customHeight="1">
      <c r="B14" s="107" t="s">
        <v>79</v>
      </c>
      <c r="C14" s="108">
        <f>SUM(C9:C13)</f>
        <v>80540895.380799994</v>
      </c>
      <c r="D14" s="108">
        <f>C14/655.957</f>
        <v>122783.80348224044</v>
      </c>
      <c r="E14" s="109">
        <f>SUM(E9:E13)</f>
        <v>81495897.699599996</v>
      </c>
      <c r="F14" s="108">
        <f t="shared" si="0"/>
        <v>124239.69513184552</v>
      </c>
      <c r="G14" s="110">
        <f>SUM(G9:G13)</f>
        <v>-955002.31880000327</v>
      </c>
      <c r="H14" s="108">
        <f t="shared" si="2"/>
        <v>-1455.8916496050858</v>
      </c>
      <c r="I14" s="111"/>
    </row>
    <row r="15" spans="2:9">
      <c r="B15" s="112" t="s">
        <v>207</v>
      </c>
      <c r="C15" s="113">
        <f>+'Rapport Financier 2025'!K71</f>
        <v>13300000</v>
      </c>
      <c r="D15" s="103">
        <f t="shared" si="0"/>
        <v>20275.719292575581</v>
      </c>
      <c r="E15" s="104">
        <f>+'Rapport Financier 2025'!P71</f>
        <v>12324778.662599999</v>
      </c>
      <c r="F15" s="103">
        <f t="shared" si="0"/>
        <v>18789.00394781975</v>
      </c>
      <c r="G15" s="105">
        <f t="shared" si="1"/>
        <v>975221.33740000054</v>
      </c>
      <c r="H15" s="103">
        <f t="shared" si="2"/>
        <v>1486.715344755831</v>
      </c>
      <c r="I15" s="100">
        <f t="shared" si="3"/>
        <v>0.92667508741353377</v>
      </c>
    </row>
    <row r="16" spans="2:9" ht="39">
      <c r="B16" s="101" t="s">
        <v>101</v>
      </c>
      <c r="C16" s="113">
        <f>+'Rapport Financier 2025'!K96</f>
        <v>111040000</v>
      </c>
      <c r="D16" s="103">
        <f t="shared" si="0"/>
        <v>169279.38874042049</v>
      </c>
      <c r="E16" s="104">
        <f>+'Rapport Financier 2025'!P96</f>
        <v>113161906</v>
      </c>
      <c r="F16" s="103">
        <f t="shared" si="0"/>
        <v>172514.21358412213</v>
      </c>
      <c r="G16" s="105">
        <f t="shared" si="1"/>
        <v>-2121906</v>
      </c>
      <c r="H16" s="103">
        <f t="shared" si="2"/>
        <v>-3234.824843701645</v>
      </c>
      <c r="I16" s="100">
        <f t="shared" si="3"/>
        <v>1.0191093840057637</v>
      </c>
    </row>
    <row r="17" spans="2:9" ht="39">
      <c r="B17" s="101" t="s">
        <v>123</v>
      </c>
      <c r="C17" s="113">
        <f>+'Rapport Financier 2025'!K116</f>
        <v>43500000</v>
      </c>
      <c r="D17" s="103">
        <f t="shared" si="0"/>
        <v>66315.322498273512</v>
      </c>
      <c r="E17" s="104">
        <f>+'Rapport Financier 2025'!P116</f>
        <v>40555451</v>
      </c>
      <c r="F17" s="103">
        <f t="shared" si="0"/>
        <v>61826.386485699521</v>
      </c>
      <c r="G17" s="105">
        <f t="shared" si="1"/>
        <v>2944549</v>
      </c>
      <c r="H17" s="103">
        <f t="shared" si="2"/>
        <v>4488.936012573995</v>
      </c>
      <c r="I17" s="100">
        <f t="shared" si="3"/>
        <v>0.93230921839080461</v>
      </c>
    </row>
    <row r="18" spans="2:9" ht="78.599999999999994" thickBot="1">
      <c r="B18" s="101" t="s">
        <v>143</v>
      </c>
      <c r="C18" s="114">
        <f>+'Rapport Financier 2025'!K149</f>
        <v>172550000</v>
      </c>
      <c r="D18" s="115">
        <f t="shared" si="0"/>
        <v>263050.7792431516</v>
      </c>
      <c r="E18" s="116">
        <f>+'Rapport Financier 2025'!P149</f>
        <v>165973717.09</v>
      </c>
      <c r="F18" s="115">
        <f t="shared" si="0"/>
        <v>253025.30057610484</v>
      </c>
      <c r="G18" s="117">
        <f t="shared" si="1"/>
        <v>6576282.9099999964</v>
      </c>
      <c r="H18" s="115">
        <f t="shared" si="2"/>
        <v>10025.478667046767</v>
      </c>
      <c r="I18" s="118">
        <f t="shared" si="3"/>
        <v>0.96188766786438717</v>
      </c>
    </row>
    <row r="19" spans="2:9" s="106" customFormat="1" ht="15" thickBot="1">
      <c r="B19" s="119" t="s">
        <v>208</v>
      </c>
      <c r="C19" s="120">
        <f>SUM(C15:C18)</f>
        <v>340390000</v>
      </c>
      <c r="D19" s="120">
        <f t="shared" si="0"/>
        <v>518921.20977442118</v>
      </c>
      <c r="E19" s="120">
        <f>SUM(E15:E18)</f>
        <v>332015852.75259995</v>
      </c>
      <c r="F19" s="120">
        <f t="shared" si="0"/>
        <v>506154.90459374618</v>
      </c>
      <c r="G19" s="121">
        <f>SUM(G15:G18)</f>
        <v>8374147.247399997</v>
      </c>
      <c r="H19" s="120">
        <f t="shared" si="2"/>
        <v>12766.305180674948</v>
      </c>
      <c r="I19" s="122">
        <f>+E19/C19</f>
        <v>0.97539837466611812</v>
      </c>
    </row>
    <row r="20" spans="2:9" s="106" customFormat="1" ht="26.45" thickBot="1">
      <c r="B20" s="123" t="s">
        <v>177</v>
      </c>
      <c r="C20" s="124">
        <f>C14+C19</f>
        <v>420930895.38080001</v>
      </c>
      <c r="D20" s="124">
        <f t="shared" si="0"/>
        <v>641705.01325666171</v>
      </c>
      <c r="E20" s="124">
        <f>E14+E19</f>
        <v>413511750.45219994</v>
      </c>
      <c r="F20" s="124">
        <f t="shared" si="0"/>
        <v>630394.59972559172</v>
      </c>
      <c r="G20" s="125">
        <f>G14+G19</f>
        <v>7419144.9285999937</v>
      </c>
      <c r="H20" s="124">
        <f t="shared" si="2"/>
        <v>11310.413531069862</v>
      </c>
      <c r="I20" s="126">
        <f>+E20/C20</f>
        <v>0.98237443483000164</v>
      </c>
    </row>
    <row r="21" spans="2:9" ht="26.45" thickBot="1">
      <c r="B21" s="127" t="s">
        <v>178</v>
      </c>
      <c r="C21" s="128">
        <v>0</v>
      </c>
      <c r="D21" s="128">
        <f t="shared" si="0"/>
        <v>0</v>
      </c>
      <c r="E21" s="129">
        <v>0</v>
      </c>
      <c r="F21" s="128">
        <f t="shared" si="0"/>
        <v>0</v>
      </c>
      <c r="G21" s="130"/>
      <c r="H21" s="128">
        <f t="shared" si="2"/>
        <v>0</v>
      </c>
      <c r="I21" s="131"/>
    </row>
    <row r="22" spans="2:9" s="106" customFormat="1" ht="15" thickBot="1">
      <c r="B22" s="123" t="s">
        <v>179</v>
      </c>
      <c r="C22" s="124">
        <f>C20+C21</f>
        <v>420930895.38080001</v>
      </c>
      <c r="D22" s="124">
        <f t="shared" si="0"/>
        <v>641705.01325666171</v>
      </c>
      <c r="E22" s="124">
        <f>E20+E21</f>
        <v>413511750.45219994</v>
      </c>
      <c r="F22" s="124">
        <f t="shared" si="0"/>
        <v>630394.59972559172</v>
      </c>
      <c r="G22" s="125">
        <f t="shared" ref="G22" si="4">G20+G21</f>
        <v>7419144.9285999937</v>
      </c>
      <c r="H22" s="124">
        <f t="shared" si="2"/>
        <v>11310.413531069862</v>
      </c>
      <c r="I22" s="126">
        <f>+E22/C22</f>
        <v>0.98237443483000164</v>
      </c>
    </row>
    <row r="23" spans="2:9" ht="26.45" thickBot="1">
      <c r="B23" s="127" t="s">
        <v>209</v>
      </c>
      <c r="C23" s="128">
        <f>+C22*0.07</f>
        <v>29465162.676656004</v>
      </c>
      <c r="D23" s="128">
        <f t="shared" si="0"/>
        <v>44919.350927966319</v>
      </c>
      <c r="E23" s="128">
        <f>+E22*0.07</f>
        <v>28945822.531653997</v>
      </c>
      <c r="F23" s="128">
        <f t="shared" si="0"/>
        <v>44127.621980791417</v>
      </c>
      <c r="G23" s="132">
        <f>C23-E23</f>
        <v>519340.14500200748</v>
      </c>
      <c r="H23" s="128">
        <f t="shared" si="2"/>
        <v>791.72894717490249</v>
      </c>
      <c r="I23" s="118">
        <f>+E23/C23</f>
        <v>0.98237443483000153</v>
      </c>
    </row>
    <row r="24" spans="2:9" s="106" customFormat="1" ht="15" thickBot="1">
      <c r="B24" s="123" t="s">
        <v>181</v>
      </c>
      <c r="C24" s="124">
        <f>C22+C23</f>
        <v>450396058.05745602</v>
      </c>
      <c r="D24" s="124">
        <f t="shared" si="0"/>
        <v>686624.36418462801</v>
      </c>
      <c r="E24" s="124">
        <f>E22+E23</f>
        <v>442457572.98385394</v>
      </c>
      <c r="F24" s="124">
        <f t="shared" si="0"/>
        <v>674522.22170638305</v>
      </c>
      <c r="G24" s="125">
        <f t="shared" ref="G24" si="5">G22+G23</f>
        <v>7938485.0736020012</v>
      </c>
      <c r="H24" s="124">
        <f t="shared" si="2"/>
        <v>12102.142478244765</v>
      </c>
      <c r="I24" s="126">
        <f>+E24/C24</f>
        <v>0.98237443483000153</v>
      </c>
    </row>
    <row r="25" spans="2:9" s="106" customFormat="1">
      <c r="B25" s="133" t="s">
        <v>182</v>
      </c>
      <c r="C25" s="134"/>
      <c r="D25" s="134">
        <f t="shared" si="0"/>
        <v>0</v>
      </c>
      <c r="E25" s="134"/>
      <c r="F25" s="134">
        <f t="shared" si="0"/>
        <v>0</v>
      </c>
      <c r="G25" s="135"/>
      <c r="H25" s="134">
        <f t="shared" si="2"/>
        <v>0</v>
      </c>
      <c r="I25" s="136">
        <v>0</v>
      </c>
    </row>
    <row r="26" spans="2:9" s="106" customFormat="1" ht="15" thickBot="1">
      <c r="B26" s="137" t="s">
        <v>183</v>
      </c>
      <c r="C26" s="138"/>
      <c r="D26" s="138">
        <f t="shared" si="0"/>
        <v>0</v>
      </c>
      <c r="E26" s="138"/>
      <c r="F26" s="138">
        <f t="shared" si="0"/>
        <v>0</v>
      </c>
      <c r="G26" s="139"/>
      <c r="H26" s="138">
        <f t="shared" si="2"/>
        <v>0</v>
      </c>
      <c r="I26" s="140">
        <v>0</v>
      </c>
    </row>
    <row r="27" spans="2:9" s="106" customFormat="1" ht="24" thickBot="1">
      <c r="B27" s="123" t="s">
        <v>184</v>
      </c>
      <c r="C27" s="124">
        <f t="shared" ref="C27:G27" si="6">+C24</f>
        <v>450396058.05745602</v>
      </c>
      <c r="D27" s="124">
        <f t="shared" ref="D27:F27" si="7">C27/655.957</f>
        <v>686624.36418462801</v>
      </c>
      <c r="E27" s="124">
        <f t="shared" si="6"/>
        <v>442457572.98385394</v>
      </c>
      <c r="F27" s="124">
        <f t="shared" si="7"/>
        <v>674522.22170638305</v>
      </c>
      <c r="G27" s="125">
        <f t="shared" si="6"/>
        <v>7938485.0736020012</v>
      </c>
      <c r="H27" s="124">
        <f t="shared" si="2"/>
        <v>12102.142478244765</v>
      </c>
      <c r="I27" s="190">
        <f>+E27/C27</f>
        <v>0.98237443483000153</v>
      </c>
    </row>
  </sheetData>
  <mergeCells count="4">
    <mergeCell ref="C7:D7"/>
    <mergeCell ref="E7:F7"/>
    <mergeCell ref="G7:H7"/>
    <mergeCell ref="I7:I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568CC-8C2C-46AF-8520-90A146059CC2}">
  <sheetPr>
    <pageSetUpPr fitToPage="1"/>
  </sheetPr>
  <dimension ref="B2:F44"/>
  <sheetViews>
    <sheetView workbookViewId="0">
      <selection activeCell="B36" sqref="B36"/>
    </sheetView>
  </sheetViews>
  <sheetFormatPr defaultColWidth="10.85546875" defaultRowHeight="15.6"/>
  <cols>
    <col min="1" max="1" width="9.7109375" style="143" customWidth="1"/>
    <col min="2" max="2" width="63.7109375" style="143" customWidth="1"/>
    <col min="3" max="3" width="19.42578125" style="142" customWidth="1"/>
    <col min="4" max="4" width="18.42578125" style="142" customWidth="1"/>
    <col min="5" max="5" width="10.85546875" style="143"/>
    <col min="6" max="6" width="12.5703125" style="143" bestFit="1" customWidth="1"/>
    <col min="7" max="16384" width="10.85546875" style="143"/>
  </cols>
  <sheetData>
    <row r="2" spans="2:4">
      <c r="B2" s="141" t="s">
        <v>2</v>
      </c>
    </row>
    <row r="4" spans="2:4">
      <c r="B4" s="208" t="s">
        <v>210</v>
      </c>
      <c r="C4" s="208"/>
      <c r="D4" s="208"/>
    </row>
    <row r="5" spans="2:4" ht="15.95" thickBot="1"/>
    <row r="6" spans="2:4" s="141" customFormat="1">
      <c r="B6" s="209" t="s">
        <v>211</v>
      </c>
      <c r="C6" s="211" t="s">
        <v>212</v>
      </c>
      <c r="D6" s="212"/>
    </row>
    <row r="7" spans="2:4" s="141" customFormat="1">
      <c r="B7" s="210"/>
      <c r="C7" s="144" t="s">
        <v>24</v>
      </c>
      <c r="D7" s="145" t="s">
        <v>213</v>
      </c>
    </row>
    <row r="8" spans="2:4" s="141" customFormat="1">
      <c r="B8" s="146" t="s">
        <v>214</v>
      </c>
      <c r="C8" s="147">
        <v>214994254</v>
      </c>
      <c r="D8" s="148">
        <f>+C8/655.957</f>
        <v>327756.62733990187</v>
      </c>
    </row>
    <row r="9" spans="2:4">
      <c r="B9" s="149"/>
      <c r="C9" s="150"/>
      <c r="D9" s="148" t="s">
        <v>2</v>
      </c>
    </row>
    <row r="10" spans="2:4" s="141" customFormat="1">
      <c r="B10" s="146" t="s">
        <v>215</v>
      </c>
      <c r="C10" s="148">
        <f>SUM(C11)</f>
        <v>416642239.81900001</v>
      </c>
      <c r="D10" s="148">
        <f>SUM(D11)</f>
        <v>635167</v>
      </c>
    </row>
    <row r="11" spans="2:4" ht="15.95">
      <c r="B11" s="151" t="s">
        <v>216</v>
      </c>
      <c r="C11" s="152">
        <f>+D11*655.957</f>
        <v>416642239.81900001</v>
      </c>
      <c r="D11" s="153">
        <f>361937+273230</f>
        <v>635167</v>
      </c>
    </row>
    <row r="12" spans="2:4" ht="15.95">
      <c r="B12" s="151"/>
      <c r="C12" s="150"/>
      <c r="D12" s="153"/>
    </row>
    <row r="13" spans="2:4" s="141" customFormat="1">
      <c r="B13" s="146" t="s">
        <v>217</v>
      </c>
      <c r="C13" s="147">
        <f>+C8+C10</f>
        <v>631636493.81900001</v>
      </c>
      <c r="D13" s="148">
        <f>+C13/655.957</f>
        <v>962923.62733990187</v>
      </c>
    </row>
    <row r="14" spans="2:4">
      <c r="B14" s="149"/>
      <c r="C14" s="150"/>
      <c r="D14" s="148" t="s">
        <v>2</v>
      </c>
    </row>
    <row r="15" spans="2:4" s="141" customFormat="1">
      <c r="B15" s="146" t="s">
        <v>218</v>
      </c>
      <c r="C15" s="147">
        <f>SUM(C16:C25)</f>
        <v>442457572.983854</v>
      </c>
      <c r="D15" s="148">
        <f>+C15/655.957</f>
        <v>674522.22170638316</v>
      </c>
    </row>
    <row r="16" spans="2:4" s="141" customFormat="1" ht="15.95">
      <c r="B16" s="154" t="s">
        <v>26</v>
      </c>
      <c r="C16" s="155">
        <f>+'DEPENSES 2025 PAR RUBRIQUES'!E9</f>
        <v>63753590.749600001</v>
      </c>
      <c r="D16" s="153">
        <f>+C16/655.957</f>
        <v>97191.722551325773</v>
      </c>
    </row>
    <row r="17" spans="2:6" s="141" customFormat="1" ht="15.95">
      <c r="B17" s="154" t="s">
        <v>44</v>
      </c>
      <c r="C17" s="155">
        <f>+'DEPENSES 2025 PAR RUBRIQUES'!E10</f>
        <v>3890686.1399999997</v>
      </c>
      <c r="D17" s="153">
        <f t="shared" ref="D17:D19" si="0">+C17/655.957</f>
        <v>5931.3127842221356</v>
      </c>
      <c r="F17" s="156" t="s">
        <v>2</v>
      </c>
    </row>
    <row r="18" spans="2:6" s="141" customFormat="1" ht="15.95">
      <c r="B18" s="154" t="s">
        <v>48</v>
      </c>
      <c r="C18" s="155">
        <f>+'DEPENSES 2025 PAR RUBRIQUES'!E11</f>
        <v>8727099.8100000005</v>
      </c>
      <c r="D18" s="153">
        <f t="shared" si="0"/>
        <v>13304.377893672909</v>
      </c>
    </row>
    <row r="19" spans="2:6" s="141" customFormat="1" ht="15.95">
      <c r="B19" s="154" t="s">
        <v>65</v>
      </c>
      <c r="C19" s="155">
        <f>+'DEPENSES 2025 PAR RUBRIQUES'!E12</f>
        <v>5124521</v>
      </c>
      <c r="D19" s="153">
        <f t="shared" si="0"/>
        <v>7812.2819026247153</v>
      </c>
    </row>
    <row r="20" spans="2:6" s="141" customFormat="1" ht="15.95">
      <c r="B20" s="154" t="s">
        <v>206</v>
      </c>
      <c r="C20" s="155">
        <v>0</v>
      </c>
      <c r="D20" s="153"/>
    </row>
    <row r="21" spans="2:6" s="141" customFormat="1" ht="15.95">
      <c r="B21" s="154" t="s">
        <v>207</v>
      </c>
      <c r="C21" s="155">
        <f>+'DEPENSES 2025 PAR RUBRIQUES'!E15</f>
        <v>12324778.662599999</v>
      </c>
      <c r="D21" s="153">
        <f>+C20/655.957</f>
        <v>0</v>
      </c>
      <c r="F21" s="156" t="s">
        <v>2</v>
      </c>
    </row>
    <row r="22" spans="2:6" s="141" customFormat="1" ht="48">
      <c r="B22" s="154" t="s">
        <v>219</v>
      </c>
      <c r="C22" s="155">
        <f>+'DEPENSES 2025 PAR RUBRIQUES'!E16</f>
        <v>113161906</v>
      </c>
      <c r="D22" s="157">
        <f>+C21/655.957</f>
        <v>18789.00394781975</v>
      </c>
    </row>
    <row r="23" spans="2:6" s="141" customFormat="1" ht="32.1">
      <c r="B23" s="154" t="s">
        <v>220</v>
      </c>
      <c r="C23" s="155">
        <f>+'DEPENSES 2025 PAR RUBRIQUES'!E17</f>
        <v>40555451</v>
      </c>
      <c r="D23" s="157">
        <f>+C22/655.957</f>
        <v>172514.21358412213</v>
      </c>
    </row>
    <row r="24" spans="2:6" s="141" customFormat="1" ht="48">
      <c r="B24" s="154" t="s">
        <v>221</v>
      </c>
      <c r="C24" s="155">
        <f>+'DEPENSES 2025 PAR RUBRIQUES'!E18</f>
        <v>165973717.09</v>
      </c>
      <c r="D24" s="157">
        <f>+C23/655.957</f>
        <v>61826.386485699521</v>
      </c>
    </row>
    <row r="25" spans="2:6" s="141" customFormat="1" ht="32.1">
      <c r="B25" s="154" t="s">
        <v>180</v>
      </c>
      <c r="C25" s="155">
        <f>+'DEPENSES 2025 PAR RUBRIQUES'!E23</f>
        <v>28945822.531653997</v>
      </c>
      <c r="D25" s="157">
        <f>+C24/655.957</f>
        <v>253025.30057610484</v>
      </c>
    </row>
    <row r="26" spans="2:6" s="141" customFormat="1" ht="15.95" thickBot="1">
      <c r="B26" s="158" t="s">
        <v>222</v>
      </c>
      <c r="C26" s="159">
        <f>+C13-C15</f>
        <v>189178920.83514601</v>
      </c>
      <c r="D26" s="160">
        <f>+C26/655.957</f>
        <v>288401.40563351871</v>
      </c>
    </row>
    <row r="27" spans="2:6" hidden="1">
      <c r="B27" s="161" t="s">
        <v>223</v>
      </c>
      <c r="C27" s="150"/>
      <c r="D27" s="162"/>
    </row>
    <row r="28" spans="2:6" hidden="1">
      <c r="B28" s="163" t="s">
        <v>224</v>
      </c>
      <c r="C28" s="150"/>
      <c r="D28" s="153"/>
    </row>
    <row r="29" spans="2:6" hidden="1">
      <c r="B29" s="163" t="s">
        <v>225</v>
      </c>
      <c r="C29" s="150"/>
      <c r="D29" s="153"/>
    </row>
    <row r="30" spans="2:6" hidden="1">
      <c r="B30" s="163" t="s">
        <v>226</v>
      </c>
      <c r="C30" s="150"/>
      <c r="D30" s="153"/>
    </row>
    <row r="31" spans="2:6" hidden="1">
      <c r="B31" s="164" t="s">
        <v>227</v>
      </c>
      <c r="C31" s="165"/>
      <c r="D31" s="166"/>
    </row>
    <row r="32" spans="2:6" ht="15.95" hidden="1" thickBot="1">
      <c r="B32" s="167" t="s">
        <v>228</v>
      </c>
      <c r="C32" s="168"/>
      <c r="D32" s="169"/>
    </row>
    <row r="33" spans="2:6" ht="15.95" hidden="1">
      <c r="B33" s="170" t="s">
        <v>229</v>
      </c>
      <c r="C33" s="171"/>
      <c r="D33" s="172"/>
    </row>
    <row r="34" spans="2:6" ht="15.95" hidden="1">
      <c r="B34" s="151" t="s">
        <v>230</v>
      </c>
      <c r="C34" s="171"/>
      <c r="D34" s="173"/>
      <c r="F34" s="174"/>
    </row>
    <row r="35" spans="2:6" ht="16.5" hidden="1" thickBot="1">
      <c r="B35" s="175" t="s">
        <v>231</v>
      </c>
      <c r="C35" s="176"/>
      <c r="D35" s="177"/>
    </row>
    <row r="36" spans="2:6">
      <c r="B36"/>
    </row>
    <row r="38" spans="2:6">
      <c r="B38" s="178" t="s">
        <v>232</v>
      </c>
      <c r="C38" s="143"/>
      <c r="D38" s="143"/>
    </row>
    <row r="39" spans="2:6">
      <c r="B39" s="179" t="s">
        <v>233</v>
      </c>
      <c r="C39" s="143"/>
      <c r="D39" s="143"/>
    </row>
    <row r="40" spans="2:6">
      <c r="B40" s="179"/>
      <c r="C40" s="143"/>
      <c r="D40" s="143"/>
    </row>
    <row r="41" spans="2:6">
      <c r="B41" s="179"/>
      <c r="C41" s="143"/>
      <c r="D41" s="143"/>
    </row>
    <row r="42" spans="2:6">
      <c r="B42" s="180"/>
      <c r="C42" s="143"/>
      <c r="D42" s="143"/>
    </row>
    <row r="43" spans="2:6">
      <c r="B43" s="180"/>
      <c r="C43" s="143"/>
      <c r="D43" s="143"/>
    </row>
    <row r="44" spans="2:6">
      <c r="B44" s="181" t="s">
        <v>234</v>
      </c>
      <c r="C44" s="143"/>
      <c r="D44" s="143"/>
    </row>
  </sheetData>
  <mergeCells count="3">
    <mergeCell ref="B4:D4"/>
    <mergeCell ref="B6:B7"/>
    <mergeCell ref="C6:D6"/>
  </mergeCells>
  <hyperlinks>
    <hyperlink ref="B22" r:id="rId1" display="http://www.portailpartispolitiques.bj/" xr:uid="{B396C1B1-711F-4F8C-95B5-A4CE77D34B70}"/>
  </hyperlinks>
  <pageMargins left="0.25" right="0.25" top="0.75" bottom="0.75" header="0.3" footer="0.3"/>
  <pageSetup paperSize="9" scale="73" fitToHeight="0"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ce0ca84-8b2a-4181-bf67-340254fafee5" xsi:nil="true"/>
    <lcf76f155ced4ddcb4097134ff3c332f xmlns="71bbbc2d-6cad-4bae-a9b6-f7a9cc8f12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07978EC024D7B4F94E32C826E2259A6" ma:contentTypeVersion="13" ma:contentTypeDescription="Create a new document." ma:contentTypeScope="" ma:versionID="ad3f97c3857d1232d90eab37299a083f">
  <xsd:schema xmlns:xsd="http://www.w3.org/2001/XMLSchema" xmlns:xs="http://www.w3.org/2001/XMLSchema" xmlns:p="http://schemas.microsoft.com/office/2006/metadata/properties" xmlns:ns2="71bbbc2d-6cad-4bae-a9b6-f7a9cc8f121c" xmlns:ns3="2ce0ca84-8b2a-4181-bf67-340254fafee5" targetNamespace="http://schemas.microsoft.com/office/2006/metadata/properties" ma:root="true" ma:fieldsID="dc972b9d8b8fde8c64769b59d0b638e1" ns2:_="" ns3:_="">
    <xsd:import namespace="71bbbc2d-6cad-4bae-a9b6-f7a9cc8f121c"/>
    <xsd:import namespace="2ce0ca84-8b2a-4181-bf67-340254fafee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bbc2d-6cad-4bae-a9b6-f7a9cc8f12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8b044b7-0085-4a7e-81e3-b64056e7991a"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e0ca84-8b2a-4181-bf67-340254fafee5"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d7fc4e0-6085-425f-8fb6-e669b9eba4b1}" ma:internalName="TaxCatchAll" ma:showField="CatchAllData" ma:web="2ce0ca84-8b2a-4181-bf67-340254fafe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EA0DD3-E192-4714-9326-207F56DAAA56}"/>
</file>

<file path=customXml/itemProps2.xml><?xml version="1.0" encoding="utf-8"?>
<ds:datastoreItem xmlns:ds="http://schemas.openxmlformats.org/officeDocument/2006/customXml" ds:itemID="{33600F47-DBDF-4E0B-A2DF-A12A57ED2E3A}"/>
</file>

<file path=customXml/itemProps3.xml><?xml version="1.0" encoding="utf-8"?>
<ds:datastoreItem xmlns:ds="http://schemas.openxmlformats.org/officeDocument/2006/customXml" ds:itemID="{8E595FE3-5CA2-41C5-9113-8C7856A13BD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 Christiaanse</dc:creator>
  <cp:keywords/>
  <dc:description/>
  <cp:lastModifiedBy>Roxanne van der Bliek</cp:lastModifiedBy>
  <cp:revision/>
  <dcterms:created xsi:type="dcterms:W3CDTF">2023-07-21T07:56:33Z</dcterms:created>
  <dcterms:modified xsi:type="dcterms:W3CDTF">2026-04-02T11:17:08Z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0x010100407978EC024D7B4F94E32C826E2259A6</vt:lpwstr>
  </property>
  <property fmtid="{D5CDD505-2E9C-101B-9397-08002B2CF9AE}" pid="3" name="MediaServiceImageTags">
    <vt:lpwstr/>
  </property>
</Properties>
</file>