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HP\Desktop\RAPPORT ANNUEL 2024\PRLFP\"/>
    </mc:Choice>
  </mc:AlternateContent>
  <xr:revisionPtr revIDLastSave="0" documentId="13_ncr:1_{A7523916-CE5C-4314-9361-25754C684715}" xr6:coauthVersionLast="45" xr6:coauthVersionMax="45" xr10:uidLastSave="{00000000-0000-0000-0000-000000000000}"/>
  <bookViews>
    <workbookView xWindow="-110" yWindow="-110" windowWidth="19420" windowHeight="10300" xr2:uid="{1DD52278-C931-45BA-BE1D-57CC703E60F8}"/>
  </bookViews>
  <sheets>
    <sheet name="Rapport Financier 2024" sheetId="2" r:id="rId1"/>
    <sheet name="Rapport jusqu'à 31.12.2024" sheetId="1" r:id="rId2"/>
    <sheet name="DEPENSES 2024 PAR RUBRIQUES" sheetId="4" r:id="rId3"/>
    <sheet name="FAS" sheetId="5" r:id="rId4"/>
  </sheets>
  <definedNames>
    <definedName name="_xlnm.Print_Titles" localSheetId="0">'Rapport Financier 2024'!$4:$5</definedName>
    <definedName name="_xlnm.Print_Titles" localSheetId="1">'Rapport jusqu''à 31.12.2024'!$4:$5</definedName>
    <definedName name="_xlnm.Print_Area" localSheetId="0">'Rapport Financier 2024'!$A$1:$T$152</definedName>
    <definedName name="_xlnm.Print_Area" localSheetId="1">'Rapport jusqu''à 31.12.2024'!$A$1:$Z$152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5" i="5" l="1"/>
  <c r="D24" i="5"/>
  <c r="D23" i="5"/>
  <c r="D22" i="5"/>
  <c r="D21" i="5"/>
  <c r="D19" i="5"/>
  <c r="D18" i="5"/>
  <c r="D17" i="5"/>
  <c r="D16" i="5"/>
  <c r="C15" i="5"/>
  <c r="D15" i="5" s="1"/>
  <c r="C13" i="5"/>
  <c r="C26" i="5" s="1"/>
  <c r="D26" i="5" s="1"/>
  <c r="D11" i="5"/>
  <c r="C11" i="5"/>
  <c r="D10" i="5"/>
  <c r="C10" i="5"/>
  <c r="D8" i="5"/>
  <c r="D13" i="5" l="1"/>
  <c r="H26" i="4"/>
  <c r="F26" i="4"/>
  <c r="D26" i="4"/>
  <c r="H25" i="4"/>
  <c r="F25" i="4"/>
  <c r="D25" i="4"/>
  <c r="H21" i="4"/>
  <c r="F21" i="4"/>
  <c r="D21" i="4"/>
  <c r="E19" i="4"/>
  <c r="I19" i="4" s="1"/>
  <c r="C19" i="4"/>
  <c r="D19" i="4" s="1"/>
  <c r="I18" i="4"/>
  <c r="H18" i="4"/>
  <c r="G18" i="4"/>
  <c r="F18" i="4"/>
  <c r="D18" i="4"/>
  <c r="I17" i="4"/>
  <c r="G17" i="4"/>
  <c r="H17" i="4" s="1"/>
  <c r="F17" i="4"/>
  <c r="D17" i="4"/>
  <c r="I16" i="4"/>
  <c r="G16" i="4"/>
  <c r="H16" i="4" s="1"/>
  <c r="F16" i="4"/>
  <c r="D16" i="4"/>
  <c r="I15" i="4"/>
  <c r="G15" i="4"/>
  <c r="H15" i="4" s="1"/>
  <c r="F15" i="4"/>
  <c r="D15" i="4"/>
  <c r="E14" i="4"/>
  <c r="E20" i="4" s="1"/>
  <c r="C14" i="4"/>
  <c r="C20" i="4" s="1"/>
  <c r="I13" i="4"/>
  <c r="G13" i="4"/>
  <c r="H13" i="4" s="1"/>
  <c r="F13" i="4"/>
  <c r="D13" i="4"/>
  <c r="I12" i="4"/>
  <c r="G12" i="4"/>
  <c r="H12" i="4" s="1"/>
  <c r="F12" i="4"/>
  <c r="D12" i="4"/>
  <c r="G11" i="4"/>
  <c r="H11" i="4" s="1"/>
  <c r="F11" i="4"/>
  <c r="D11" i="4"/>
  <c r="I10" i="4"/>
  <c r="H10" i="4"/>
  <c r="G10" i="4"/>
  <c r="F10" i="4"/>
  <c r="D10" i="4"/>
  <c r="I9" i="4"/>
  <c r="G9" i="4"/>
  <c r="G14" i="4" s="1"/>
  <c r="F9" i="4"/>
  <c r="D9" i="4"/>
  <c r="H14" i="4" l="1"/>
  <c r="G20" i="4"/>
  <c r="D20" i="4"/>
  <c r="C22" i="4"/>
  <c r="F20" i="4"/>
  <c r="I20" i="4"/>
  <c r="E22" i="4"/>
  <c r="H9" i="4"/>
  <c r="G19" i="4"/>
  <c r="H19" i="4" s="1"/>
  <c r="F14" i="4"/>
  <c r="F19" i="4"/>
  <c r="D14" i="4"/>
  <c r="E23" i="4" l="1"/>
  <c r="I22" i="4"/>
  <c r="F22" i="4"/>
  <c r="G22" i="4"/>
  <c r="H20" i="4"/>
  <c r="D22" i="4"/>
  <c r="C23" i="4"/>
  <c r="I23" i="4" l="1"/>
  <c r="F23" i="4"/>
  <c r="G23" i="4"/>
  <c r="H23" i="4" s="1"/>
  <c r="D23" i="4"/>
  <c r="H22" i="4"/>
  <c r="G24" i="4"/>
  <c r="C24" i="4"/>
  <c r="E24" i="4"/>
  <c r="F24" i="4" l="1"/>
  <c r="E27" i="4"/>
  <c r="I24" i="4"/>
  <c r="D24" i="4"/>
  <c r="C27" i="4"/>
  <c r="D27" i="4" s="1"/>
  <c r="G27" i="4"/>
  <c r="H27" i="4" s="1"/>
  <c r="H24" i="4"/>
  <c r="I27" i="4" l="1"/>
  <c r="F27" i="4"/>
  <c r="V142" i="1" l="1"/>
  <c r="V144" i="1"/>
  <c r="V147" i="1"/>
  <c r="V149" i="1"/>
  <c r="V152" i="1"/>
  <c r="W54" i="1"/>
  <c r="X54" i="1"/>
  <c r="V54" i="1"/>
  <c r="U54" i="1"/>
  <c r="P149" i="2"/>
  <c r="P144" i="2"/>
  <c r="P54" i="2"/>
  <c r="P53" i="2"/>
  <c r="P50" i="2"/>
  <c r="P44" i="2"/>
  <c r="P35" i="2"/>
  <c r="P26" i="2"/>
  <c r="P22" i="2"/>
  <c r="P21" i="2"/>
  <c r="P14" i="2"/>
  <c r="K21" i="2"/>
  <c r="K14" i="2"/>
  <c r="K22" i="2" s="1"/>
  <c r="K54" i="2" s="1"/>
  <c r="T26" i="1"/>
  <c r="T22" i="1"/>
  <c r="T21" i="1"/>
  <c r="T14" i="1"/>
  <c r="Y144" i="1"/>
  <c r="W144" i="1"/>
  <c r="U144" i="1"/>
  <c r="T144" i="1"/>
  <c r="S144" i="1"/>
  <c r="R144" i="1"/>
  <c r="L54" i="1"/>
  <c r="L144" i="1"/>
  <c r="S144" i="2"/>
  <c r="R144" i="2"/>
  <c r="Q144" i="2"/>
  <c r="L144" i="2"/>
  <c r="K144" i="2"/>
  <c r="Q54" i="2"/>
  <c r="Z100" i="1" l="1"/>
  <c r="V117" i="1" l="1"/>
  <c r="T69" i="2" l="1"/>
  <c r="T70" i="2" s="1"/>
  <c r="Q53" i="2"/>
  <c r="O53" i="2"/>
  <c r="M53" i="2"/>
  <c r="L146" i="2"/>
  <c r="G146" i="2"/>
  <c r="P141" i="2"/>
  <c r="Q141" i="2" s="1"/>
  <c r="K141" i="2"/>
  <c r="J141" i="2"/>
  <c r="F141" i="2"/>
  <c r="G141" i="2" s="1"/>
  <c r="E141" i="2"/>
  <c r="Q140" i="2"/>
  <c r="J140" i="2"/>
  <c r="H140" i="2"/>
  <c r="K140" i="2" s="1"/>
  <c r="F140" i="2"/>
  <c r="G140" i="2" s="1"/>
  <c r="E140" i="2"/>
  <c r="Q139" i="2"/>
  <c r="K139" i="2"/>
  <c r="R139" i="2" s="1"/>
  <c r="S139" i="2" s="1"/>
  <c r="J139" i="2"/>
  <c r="F139" i="2"/>
  <c r="E139" i="2"/>
  <c r="Q138" i="2"/>
  <c r="K138" i="2"/>
  <c r="J138" i="2"/>
  <c r="F138" i="2"/>
  <c r="G138" i="2" s="1"/>
  <c r="E138" i="2"/>
  <c r="Q137" i="2"/>
  <c r="K137" i="2"/>
  <c r="J137" i="2"/>
  <c r="F137" i="2"/>
  <c r="E137" i="2"/>
  <c r="Q136" i="2"/>
  <c r="K136" i="2"/>
  <c r="J136" i="2"/>
  <c r="F136" i="2"/>
  <c r="E136" i="2"/>
  <c r="Q135" i="2"/>
  <c r="K135" i="2"/>
  <c r="J135" i="2"/>
  <c r="F135" i="2"/>
  <c r="E135" i="2"/>
  <c r="Q134" i="2"/>
  <c r="K134" i="2"/>
  <c r="J134" i="2"/>
  <c r="F134" i="2"/>
  <c r="E134" i="2"/>
  <c r="Q133" i="2"/>
  <c r="K133" i="2"/>
  <c r="T133" i="2" s="1"/>
  <c r="J133" i="2"/>
  <c r="F133" i="2"/>
  <c r="E133" i="2"/>
  <c r="P132" i="2"/>
  <c r="N132" i="2"/>
  <c r="M132" i="2"/>
  <c r="I132" i="2"/>
  <c r="H132" i="2"/>
  <c r="Q131" i="2"/>
  <c r="K131" i="2"/>
  <c r="J131" i="2"/>
  <c r="F131" i="2"/>
  <c r="G131" i="2" s="1"/>
  <c r="E131" i="2"/>
  <c r="Q130" i="2"/>
  <c r="K130" i="2"/>
  <c r="J130" i="2"/>
  <c r="F130" i="2"/>
  <c r="E130" i="2"/>
  <c r="Q129" i="2"/>
  <c r="K129" i="2"/>
  <c r="R129" i="2" s="1"/>
  <c r="S129" i="2" s="1"/>
  <c r="J129" i="2"/>
  <c r="F129" i="2"/>
  <c r="E129" i="2"/>
  <c r="Q128" i="2"/>
  <c r="K128" i="2"/>
  <c r="R128" i="2" s="1"/>
  <c r="S128" i="2" s="1"/>
  <c r="J128" i="2"/>
  <c r="F128" i="2"/>
  <c r="G128" i="2" s="1"/>
  <c r="E128" i="2"/>
  <c r="Q127" i="2"/>
  <c r="K127" i="2"/>
  <c r="R127" i="2" s="1"/>
  <c r="S127" i="2" s="1"/>
  <c r="J127" i="2"/>
  <c r="F127" i="2"/>
  <c r="G127" i="2" s="1"/>
  <c r="E127" i="2"/>
  <c r="Q126" i="2"/>
  <c r="K126" i="2"/>
  <c r="T126" i="2" s="1"/>
  <c r="J126" i="2"/>
  <c r="F126" i="2"/>
  <c r="G126" i="2" s="1"/>
  <c r="E126" i="2"/>
  <c r="P125" i="2"/>
  <c r="O125" i="2"/>
  <c r="M125" i="2"/>
  <c r="K124" i="2"/>
  <c r="L124" i="2" s="1"/>
  <c r="F124" i="2"/>
  <c r="G124" i="2" s="1"/>
  <c r="Q123" i="2"/>
  <c r="K123" i="2"/>
  <c r="T123" i="2" s="1"/>
  <c r="J123" i="2"/>
  <c r="F123" i="2"/>
  <c r="G123" i="2" s="1"/>
  <c r="E123" i="2"/>
  <c r="Q122" i="2"/>
  <c r="K122" i="2"/>
  <c r="J122" i="2"/>
  <c r="F122" i="2"/>
  <c r="G122" i="2" s="1"/>
  <c r="E122" i="2"/>
  <c r="Q121" i="2"/>
  <c r="K121" i="2"/>
  <c r="R121" i="2" s="1"/>
  <c r="S121" i="2" s="1"/>
  <c r="J121" i="2"/>
  <c r="F121" i="2"/>
  <c r="E121" i="2"/>
  <c r="Q120" i="2"/>
  <c r="K120" i="2"/>
  <c r="R120" i="2" s="1"/>
  <c r="S120" i="2" s="1"/>
  <c r="J120" i="2"/>
  <c r="F120" i="2"/>
  <c r="G120" i="2" s="1"/>
  <c r="E120" i="2"/>
  <c r="Q119" i="2"/>
  <c r="K119" i="2"/>
  <c r="J119" i="2"/>
  <c r="F119" i="2"/>
  <c r="E119" i="2"/>
  <c r="P118" i="2"/>
  <c r="Q117" i="2"/>
  <c r="K117" i="2"/>
  <c r="J117" i="2"/>
  <c r="F117" i="2"/>
  <c r="E117" i="2"/>
  <c r="K114" i="2"/>
  <c r="R114" i="2" s="1"/>
  <c r="S114" i="2" s="1"/>
  <c r="J114" i="2"/>
  <c r="F114" i="2"/>
  <c r="E114" i="2"/>
  <c r="K113" i="2"/>
  <c r="J113" i="2"/>
  <c r="F113" i="2"/>
  <c r="G113" i="2" s="1"/>
  <c r="E113" i="2"/>
  <c r="Q112" i="2"/>
  <c r="P112" i="2"/>
  <c r="O112" i="2"/>
  <c r="M112" i="2"/>
  <c r="Q111" i="2"/>
  <c r="K111" i="2"/>
  <c r="N111" i="2" s="1"/>
  <c r="J111" i="2"/>
  <c r="F111" i="2"/>
  <c r="G111" i="2" s="1"/>
  <c r="E111" i="2"/>
  <c r="Q110" i="2"/>
  <c r="K110" i="2"/>
  <c r="L110" i="2" s="1"/>
  <c r="J110" i="2"/>
  <c r="F110" i="2"/>
  <c r="E110" i="2"/>
  <c r="Q109" i="2"/>
  <c r="K109" i="2"/>
  <c r="T109" i="2" s="1"/>
  <c r="J109" i="2"/>
  <c r="F109" i="2"/>
  <c r="G109" i="2" s="1"/>
  <c r="E109" i="2"/>
  <c r="P108" i="2"/>
  <c r="O108" i="2"/>
  <c r="M108" i="2"/>
  <c r="P107" i="2"/>
  <c r="K107" i="2"/>
  <c r="L107" i="2" s="1"/>
  <c r="J107" i="2"/>
  <c r="F107" i="2"/>
  <c r="E107" i="2"/>
  <c r="Q106" i="2"/>
  <c r="K106" i="2"/>
  <c r="L106" i="2" s="1"/>
  <c r="F106" i="2"/>
  <c r="Q105" i="2"/>
  <c r="K105" i="2"/>
  <c r="T105" i="2" s="1"/>
  <c r="J105" i="2"/>
  <c r="F105" i="2"/>
  <c r="E105" i="2"/>
  <c r="Q104" i="2"/>
  <c r="K104" i="2"/>
  <c r="J104" i="2"/>
  <c r="F104" i="2"/>
  <c r="G104" i="2" s="1"/>
  <c r="O104" i="2" s="1"/>
  <c r="E104" i="2"/>
  <c r="P103" i="2"/>
  <c r="N103" i="2"/>
  <c r="M103" i="2"/>
  <c r="J103" i="2"/>
  <c r="E103" i="2"/>
  <c r="Q102" i="2"/>
  <c r="K102" i="2"/>
  <c r="R102" i="2" s="1"/>
  <c r="S102" i="2" s="1"/>
  <c r="J102" i="2"/>
  <c r="F102" i="2"/>
  <c r="G102" i="2" s="1"/>
  <c r="E102" i="2"/>
  <c r="Q101" i="2"/>
  <c r="K101" i="2"/>
  <c r="R101" i="2" s="1"/>
  <c r="S101" i="2" s="1"/>
  <c r="J101" i="2"/>
  <c r="F101" i="2"/>
  <c r="E101" i="2"/>
  <c r="Q100" i="2"/>
  <c r="K100" i="2"/>
  <c r="L100" i="2" s="1"/>
  <c r="J100" i="2"/>
  <c r="F100" i="2"/>
  <c r="G100" i="2" s="1"/>
  <c r="E100" i="2"/>
  <c r="P99" i="2"/>
  <c r="O99" i="2"/>
  <c r="M99" i="2"/>
  <c r="J99" i="2"/>
  <c r="E99" i="2"/>
  <c r="Q98" i="2"/>
  <c r="K98" i="2"/>
  <c r="J98" i="2"/>
  <c r="F98" i="2"/>
  <c r="G98" i="2" s="1"/>
  <c r="E98" i="2"/>
  <c r="Q97" i="2"/>
  <c r="K97" i="2"/>
  <c r="T97" i="2" s="1"/>
  <c r="J97" i="2"/>
  <c r="F97" i="2"/>
  <c r="G97" i="2" s="1"/>
  <c r="E97" i="2"/>
  <c r="K96" i="2"/>
  <c r="F96" i="2"/>
  <c r="K94" i="2"/>
  <c r="L94" i="2" s="1"/>
  <c r="F94" i="2"/>
  <c r="G94" i="2" s="1"/>
  <c r="Q93" i="2"/>
  <c r="K93" i="2"/>
  <c r="L93" i="2" s="1"/>
  <c r="J93" i="2"/>
  <c r="F93" i="2"/>
  <c r="G93" i="2" s="1"/>
  <c r="E93" i="2"/>
  <c r="Q92" i="2"/>
  <c r="K92" i="2"/>
  <c r="R92" i="2" s="1"/>
  <c r="S92" i="2" s="1"/>
  <c r="J92" i="2"/>
  <c r="F92" i="2"/>
  <c r="E92" i="2"/>
  <c r="Q91" i="2"/>
  <c r="K91" i="2"/>
  <c r="J91" i="2"/>
  <c r="F91" i="2"/>
  <c r="E91" i="2"/>
  <c r="P90" i="2"/>
  <c r="O90" i="2"/>
  <c r="M90" i="2"/>
  <c r="I90" i="2"/>
  <c r="H90" i="2"/>
  <c r="Q89" i="2"/>
  <c r="K89" i="2"/>
  <c r="T89" i="2" s="1"/>
  <c r="J89" i="2"/>
  <c r="F89" i="2"/>
  <c r="G89" i="2" s="1"/>
  <c r="E89" i="2"/>
  <c r="Q88" i="2"/>
  <c r="K88" i="2"/>
  <c r="R88" i="2" s="1"/>
  <c r="S88" i="2" s="1"/>
  <c r="J88" i="2"/>
  <c r="F88" i="2"/>
  <c r="G88" i="2" s="1"/>
  <c r="E88" i="2"/>
  <c r="Q87" i="2"/>
  <c r="K87" i="2"/>
  <c r="T87" i="2" s="1"/>
  <c r="J87" i="2"/>
  <c r="F87" i="2"/>
  <c r="G87" i="2" s="1"/>
  <c r="E87" i="2"/>
  <c r="Q86" i="2"/>
  <c r="K86" i="2"/>
  <c r="R86" i="2" s="1"/>
  <c r="S86" i="2" s="1"/>
  <c r="J86" i="2"/>
  <c r="F86" i="2"/>
  <c r="E86" i="2"/>
  <c r="Q85" i="2"/>
  <c r="K85" i="2"/>
  <c r="T85" i="2" s="1"/>
  <c r="J85" i="2"/>
  <c r="F85" i="2"/>
  <c r="G85" i="2" s="1"/>
  <c r="E85" i="2"/>
  <c r="Q84" i="2"/>
  <c r="I84" i="2"/>
  <c r="J84" i="2" s="1"/>
  <c r="D84" i="2"/>
  <c r="F84" i="2" s="1"/>
  <c r="Q83" i="2"/>
  <c r="K83" i="2"/>
  <c r="J83" i="2"/>
  <c r="F83" i="2"/>
  <c r="G83" i="2" s="1"/>
  <c r="E83" i="2"/>
  <c r="P82" i="2"/>
  <c r="O82" i="2"/>
  <c r="M82" i="2"/>
  <c r="H82" i="2"/>
  <c r="Q81" i="2"/>
  <c r="K81" i="2"/>
  <c r="R81" i="2" s="1"/>
  <c r="S81" i="2" s="1"/>
  <c r="J81" i="2"/>
  <c r="F81" i="2"/>
  <c r="E81" i="2"/>
  <c r="Q80" i="2"/>
  <c r="K80" i="2"/>
  <c r="R80" i="2" s="1"/>
  <c r="S80" i="2" s="1"/>
  <c r="J80" i="2"/>
  <c r="F80" i="2"/>
  <c r="G80" i="2" s="1"/>
  <c r="E80" i="2"/>
  <c r="Q79" i="2"/>
  <c r="K79" i="2"/>
  <c r="L79" i="2" s="1"/>
  <c r="J79" i="2"/>
  <c r="F79" i="2"/>
  <c r="G79" i="2" s="1"/>
  <c r="E79" i="2"/>
  <c r="Q78" i="2"/>
  <c r="K78" i="2"/>
  <c r="R78" i="2" s="1"/>
  <c r="S78" i="2" s="1"/>
  <c r="J78" i="2"/>
  <c r="E78" i="2"/>
  <c r="F78" i="2" s="1"/>
  <c r="P77" i="2"/>
  <c r="O77" i="2"/>
  <c r="M77" i="2"/>
  <c r="I77" i="2"/>
  <c r="H77" i="2"/>
  <c r="Q76" i="2"/>
  <c r="K76" i="2"/>
  <c r="T76" i="2" s="1"/>
  <c r="J76" i="2"/>
  <c r="F76" i="2"/>
  <c r="E76" i="2"/>
  <c r="Q75" i="2"/>
  <c r="K75" i="2"/>
  <c r="T75" i="2" s="1"/>
  <c r="J75" i="2"/>
  <c r="F75" i="2"/>
  <c r="G75" i="2" s="1"/>
  <c r="E75" i="2"/>
  <c r="Q74" i="2"/>
  <c r="K74" i="2"/>
  <c r="R74" i="2" s="1"/>
  <c r="S74" i="2" s="1"/>
  <c r="J74" i="2"/>
  <c r="F74" i="2"/>
  <c r="G74" i="2" s="1"/>
  <c r="E74" i="2"/>
  <c r="P73" i="2"/>
  <c r="M73" i="2"/>
  <c r="M95" i="2" s="1"/>
  <c r="I73" i="2"/>
  <c r="H73" i="2"/>
  <c r="P71" i="2"/>
  <c r="O71" i="2"/>
  <c r="H71" i="2"/>
  <c r="Q70" i="2"/>
  <c r="K70" i="2"/>
  <c r="J70" i="2"/>
  <c r="F70" i="2"/>
  <c r="G70" i="2" s="1"/>
  <c r="E70" i="2"/>
  <c r="Q69" i="2"/>
  <c r="K69" i="2"/>
  <c r="J69" i="2"/>
  <c r="F69" i="2"/>
  <c r="G69" i="2" s="1"/>
  <c r="E69" i="2"/>
  <c r="Q68" i="2"/>
  <c r="K68" i="2"/>
  <c r="R68" i="2" s="1"/>
  <c r="S68" i="2" s="1"/>
  <c r="J68" i="2"/>
  <c r="F68" i="2"/>
  <c r="G68" i="2" s="1"/>
  <c r="E68" i="2"/>
  <c r="Q67" i="2"/>
  <c r="K67" i="2"/>
  <c r="N67" i="2" s="1"/>
  <c r="J67" i="2"/>
  <c r="F67" i="2"/>
  <c r="E67" i="2"/>
  <c r="R66" i="2"/>
  <c r="S66" i="2" s="1"/>
  <c r="Q66" i="2"/>
  <c r="N66" i="2"/>
  <c r="L66" i="2"/>
  <c r="J66" i="2"/>
  <c r="G66" i="2"/>
  <c r="E66" i="2"/>
  <c r="Q65" i="2"/>
  <c r="K65" i="2"/>
  <c r="R65" i="2" s="1"/>
  <c r="S65" i="2" s="1"/>
  <c r="J65" i="2"/>
  <c r="F65" i="2"/>
  <c r="E65" i="2"/>
  <c r="Q64" i="2"/>
  <c r="K64" i="2"/>
  <c r="T64" i="2" s="1"/>
  <c r="J64" i="2"/>
  <c r="F64" i="2"/>
  <c r="G64" i="2" s="1"/>
  <c r="E64" i="2"/>
  <c r="Q63" i="2"/>
  <c r="K63" i="2"/>
  <c r="N63" i="2" s="1"/>
  <c r="J63" i="2"/>
  <c r="F63" i="2"/>
  <c r="E63" i="2"/>
  <c r="Q62" i="2"/>
  <c r="K62" i="2"/>
  <c r="R62" i="2" s="1"/>
  <c r="S62" i="2" s="1"/>
  <c r="J62" i="2"/>
  <c r="F62" i="2"/>
  <c r="E62" i="2"/>
  <c r="R61" i="2"/>
  <c r="S61" i="2" s="1"/>
  <c r="Q61" i="2"/>
  <c r="N61" i="2"/>
  <c r="Q60" i="2"/>
  <c r="K60" i="2"/>
  <c r="R60" i="2" s="1"/>
  <c r="S60" i="2" s="1"/>
  <c r="J60" i="2"/>
  <c r="F60" i="2"/>
  <c r="G60" i="2" s="1"/>
  <c r="E60" i="2"/>
  <c r="Q59" i="2"/>
  <c r="K59" i="2"/>
  <c r="L59" i="2" s="1"/>
  <c r="J59" i="2"/>
  <c r="F59" i="2"/>
  <c r="G59" i="2" s="1"/>
  <c r="E59" i="2"/>
  <c r="Q58" i="2"/>
  <c r="K58" i="2"/>
  <c r="L58" i="2" s="1"/>
  <c r="J58" i="2"/>
  <c r="F58" i="2"/>
  <c r="G58" i="2" s="1"/>
  <c r="E58" i="2"/>
  <c r="Q57" i="2"/>
  <c r="I57" i="2"/>
  <c r="D57" i="2"/>
  <c r="F57" i="2" s="1"/>
  <c r="G57" i="2" s="1"/>
  <c r="Q56" i="2"/>
  <c r="K56" i="2"/>
  <c r="R56" i="2" s="1"/>
  <c r="J56" i="2"/>
  <c r="F56" i="2"/>
  <c r="G56" i="2" s="1"/>
  <c r="E56" i="2"/>
  <c r="Q52" i="2"/>
  <c r="K52" i="2"/>
  <c r="R52" i="2" s="1"/>
  <c r="S52" i="2" s="1"/>
  <c r="S53" i="2" s="1"/>
  <c r="J52" i="2"/>
  <c r="F52" i="2"/>
  <c r="E52" i="2"/>
  <c r="O50" i="2"/>
  <c r="M50" i="2"/>
  <c r="Q49" i="2"/>
  <c r="I49" i="2"/>
  <c r="K49" i="2" s="1"/>
  <c r="L49" i="2" s="1"/>
  <c r="D49" i="2"/>
  <c r="F49" i="2" s="1"/>
  <c r="Q48" i="2"/>
  <c r="K48" i="2"/>
  <c r="L48" i="2" s="1"/>
  <c r="J48" i="2"/>
  <c r="F48" i="2"/>
  <c r="G48" i="2" s="1"/>
  <c r="E48" i="2"/>
  <c r="Q47" i="2"/>
  <c r="K47" i="2"/>
  <c r="T47" i="2" s="1"/>
  <c r="J47" i="2"/>
  <c r="F47" i="2"/>
  <c r="G47" i="2" s="1"/>
  <c r="E47" i="2"/>
  <c r="Q46" i="2"/>
  <c r="K46" i="2"/>
  <c r="T46" i="2" s="1"/>
  <c r="J46" i="2"/>
  <c r="F46" i="2"/>
  <c r="E46" i="2"/>
  <c r="P43" i="2"/>
  <c r="N43" i="2"/>
  <c r="M43" i="2"/>
  <c r="Q42" i="2"/>
  <c r="K42" i="2"/>
  <c r="J42" i="2"/>
  <c r="F42" i="2"/>
  <c r="G42" i="2" s="1"/>
  <c r="E42" i="2"/>
  <c r="Q41" i="2"/>
  <c r="I41" i="2"/>
  <c r="J41" i="2" s="1"/>
  <c r="D41" i="2"/>
  <c r="E41" i="2" s="1"/>
  <c r="Q40" i="2"/>
  <c r="I40" i="2"/>
  <c r="J40" i="2" s="1"/>
  <c r="D40" i="2"/>
  <c r="F40" i="2" s="1"/>
  <c r="Q39" i="2"/>
  <c r="I39" i="2"/>
  <c r="K39" i="2" s="1"/>
  <c r="D39" i="2"/>
  <c r="E39" i="2" s="1"/>
  <c r="Q38" i="2"/>
  <c r="K38" i="2"/>
  <c r="L38" i="2" s="1"/>
  <c r="J38" i="2"/>
  <c r="F38" i="2"/>
  <c r="E38" i="2"/>
  <c r="Q37" i="2"/>
  <c r="K37" i="2"/>
  <c r="J37" i="2"/>
  <c r="F37" i="2"/>
  <c r="E37" i="2"/>
  <c r="O35" i="2"/>
  <c r="M35" i="2"/>
  <c r="Q34" i="2"/>
  <c r="K34" i="2"/>
  <c r="J34" i="2"/>
  <c r="F34" i="2"/>
  <c r="G34" i="2" s="1"/>
  <c r="E34" i="2"/>
  <c r="Q33" i="2"/>
  <c r="I33" i="2"/>
  <c r="K33" i="2" s="1"/>
  <c r="D33" i="2"/>
  <c r="F33" i="2" s="1"/>
  <c r="Q32" i="2"/>
  <c r="I32" i="2"/>
  <c r="K32" i="2" s="1"/>
  <c r="D32" i="2"/>
  <c r="F32" i="2" s="1"/>
  <c r="Q31" i="2"/>
  <c r="I31" i="2"/>
  <c r="K31" i="2" s="1"/>
  <c r="D31" i="2"/>
  <c r="F31" i="2" s="1"/>
  <c r="Q30" i="2"/>
  <c r="K30" i="2"/>
  <c r="R30" i="2" s="1"/>
  <c r="S30" i="2" s="1"/>
  <c r="J30" i="2"/>
  <c r="F30" i="2"/>
  <c r="E30" i="2"/>
  <c r="Q29" i="2"/>
  <c r="K29" i="2"/>
  <c r="R29" i="2" s="1"/>
  <c r="J29" i="2"/>
  <c r="F29" i="2"/>
  <c r="G29" i="2" s="1"/>
  <c r="E29" i="2"/>
  <c r="M26" i="2"/>
  <c r="Q25" i="2"/>
  <c r="I25" i="2"/>
  <c r="J25" i="2" s="1"/>
  <c r="D25" i="2"/>
  <c r="F25" i="2" s="1"/>
  <c r="G25" i="2" s="1"/>
  <c r="Q24" i="2"/>
  <c r="I24" i="2"/>
  <c r="K24" i="2" s="1"/>
  <c r="D24" i="2"/>
  <c r="F24" i="2" s="1"/>
  <c r="G24" i="2" s="1"/>
  <c r="N21" i="2"/>
  <c r="M21" i="2"/>
  <c r="R20" i="2"/>
  <c r="S20" i="2" s="1"/>
  <c r="Q20" i="2"/>
  <c r="F20" i="2"/>
  <c r="Q19" i="2"/>
  <c r="I19" i="2"/>
  <c r="K19" i="2" s="1"/>
  <c r="R19" i="2" s="1"/>
  <c r="S19" i="2" s="1"/>
  <c r="D19" i="2"/>
  <c r="F19" i="2" s="1"/>
  <c r="Q18" i="2"/>
  <c r="K18" i="2"/>
  <c r="T18" i="2" s="1"/>
  <c r="J18" i="2"/>
  <c r="F18" i="2"/>
  <c r="G18" i="2" s="1"/>
  <c r="E18" i="2"/>
  <c r="Q17" i="2"/>
  <c r="I17" i="2"/>
  <c r="D17" i="2"/>
  <c r="E17" i="2" s="1"/>
  <c r="O14" i="2"/>
  <c r="P13" i="2"/>
  <c r="K13" i="2"/>
  <c r="J13" i="2"/>
  <c r="F13" i="2"/>
  <c r="G13" i="2" s="1"/>
  <c r="E13" i="2"/>
  <c r="Q12" i="2"/>
  <c r="K12" i="2"/>
  <c r="R12" i="2" s="1"/>
  <c r="S12" i="2" s="1"/>
  <c r="J12" i="2"/>
  <c r="F12" i="2"/>
  <c r="G12" i="2" s="1"/>
  <c r="E12" i="2"/>
  <c r="Q11" i="2"/>
  <c r="I11" i="2"/>
  <c r="D11" i="2"/>
  <c r="Q10" i="2"/>
  <c r="K10" i="2"/>
  <c r="T10" i="2" s="1"/>
  <c r="J10" i="2"/>
  <c r="F10" i="2"/>
  <c r="G10" i="2" s="1"/>
  <c r="E10" i="2"/>
  <c r="Q9" i="2"/>
  <c r="I9" i="2"/>
  <c r="D9" i="2"/>
  <c r="F9" i="2" s="1"/>
  <c r="T133" i="1"/>
  <c r="P133" i="1"/>
  <c r="N133" i="1"/>
  <c r="T126" i="1"/>
  <c r="P126" i="1"/>
  <c r="N126" i="1"/>
  <c r="T119" i="1"/>
  <c r="P119" i="1"/>
  <c r="N119" i="1"/>
  <c r="U113" i="1"/>
  <c r="T113" i="1"/>
  <c r="P113" i="1"/>
  <c r="N113" i="1"/>
  <c r="T109" i="1"/>
  <c r="P109" i="1"/>
  <c r="N109" i="1"/>
  <c r="T104" i="1"/>
  <c r="P104" i="1"/>
  <c r="N104" i="1"/>
  <c r="T100" i="1"/>
  <c r="P100" i="1"/>
  <c r="N100" i="1"/>
  <c r="U98" i="1"/>
  <c r="P143" i="1" l="1"/>
  <c r="N116" i="1"/>
  <c r="R53" i="2"/>
  <c r="P115" i="2"/>
  <c r="M115" i="2"/>
  <c r="T141" i="2"/>
  <c r="J77" i="2"/>
  <c r="Q21" i="2"/>
  <c r="L75" i="2"/>
  <c r="R49" i="2"/>
  <c r="S49" i="2" s="1"/>
  <c r="Q73" i="2"/>
  <c r="O75" i="2"/>
  <c r="L102" i="2"/>
  <c r="T60" i="2"/>
  <c r="T81" i="2"/>
  <c r="M65" i="2"/>
  <c r="M71" i="2" s="1"/>
  <c r="N49" i="2"/>
  <c r="N60" i="2"/>
  <c r="T67" i="2"/>
  <c r="N110" i="2"/>
  <c r="L65" i="2"/>
  <c r="R67" i="2"/>
  <c r="S67" i="2" s="1"/>
  <c r="T86" i="2"/>
  <c r="Q77" i="2"/>
  <c r="Q90" i="2"/>
  <c r="T110" i="2"/>
  <c r="N59" i="2"/>
  <c r="N79" i="2"/>
  <c r="N77" i="2" s="1"/>
  <c r="Q108" i="2"/>
  <c r="K118" i="2"/>
  <c r="T118" i="2" s="1"/>
  <c r="T120" i="2"/>
  <c r="O123" i="2"/>
  <c r="G26" i="2"/>
  <c r="O133" i="2"/>
  <c r="T79" i="2"/>
  <c r="L85" i="2"/>
  <c r="F90" i="2"/>
  <c r="J19" i="2"/>
  <c r="R85" i="2"/>
  <c r="S85" i="2" s="1"/>
  <c r="F50" i="2"/>
  <c r="T78" i="2"/>
  <c r="I82" i="2"/>
  <c r="K84" i="2"/>
  <c r="T84" i="2" s="1"/>
  <c r="L89" i="2"/>
  <c r="R18" i="2"/>
  <c r="S18" i="2" s="1"/>
  <c r="E24" i="2"/>
  <c r="L119" i="2"/>
  <c r="Q50" i="2"/>
  <c r="R48" i="2"/>
  <c r="S48" i="2" s="1"/>
  <c r="T63" i="2"/>
  <c r="N70" i="2"/>
  <c r="O119" i="2"/>
  <c r="T127" i="2"/>
  <c r="L139" i="2"/>
  <c r="R10" i="2"/>
  <c r="S10" i="2" s="1"/>
  <c r="K25" i="2"/>
  <c r="R25" i="2" s="1"/>
  <c r="S25" i="2" s="1"/>
  <c r="M44" i="2"/>
  <c r="T48" i="2"/>
  <c r="L81" i="2"/>
  <c r="E84" i="2"/>
  <c r="R106" i="2"/>
  <c r="S106" i="2" s="1"/>
  <c r="F108" i="2"/>
  <c r="L120" i="2"/>
  <c r="M142" i="2"/>
  <c r="E25" i="2"/>
  <c r="N58" i="2"/>
  <c r="R63" i="2"/>
  <c r="S63" i="2" s="1"/>
  <c r="L70" i="2"/>
  <c r="T13" i="2"/>
  <c r="Q26" i="2"/>
  <c r="L60" i="2"/>
  <c r="R70" i="2"/>
  <c r="S70" i="2" s="1"/>
  <c r="F77" i="2"/>
  <c r="T106" i="2"/>
  <c r="P142" i="2"/>
  <c r="R119" i="2"/>
  <c r="O120" i="2"/>
  <c r="R126" i="2"/>
  <c r="J90" i="2"/>
  <c r="Q118" i="2"/>
  <c r="Q132" i="2"/>
  <c r="L62" i="2"/>
  <c r="L64" i="2"/>
  <c r="L87" i="2"/>
  <c r="N92" i="2"/>
  <c r="L97" i="2"/>
  <c r="T121" i="2"/>
  <c r="T129" i="2"/>
  <c r="G136" i="2"/>
  <c r="N12" i="2"/>
  <c r="J24" i="2"/>
  <c r="F26" i="2"/>
  <c r="Q43" i="2"/>
  <c r="L52" i="2"/>
  <c r="L53" i="2" s="1"/>
  <c r="R59" i="2"/>
  <c r="S59" i="2" s="1"/>
  <c r="N62" i="2"/>
  <c r="N64" i="2"/>
  <c r="N68" i="2"/>
  <c r="R75" i="2"/>
  <c r="S75" i="2" s="1"/>
  <c r="K77" i="2"/>
  <c r="T77" i="2" s="1"/>
  <c r="R79" i="2"/>
  <c r="R89" i="2"/>
  <c r="S89" i="2" s="1"/>
  <c r="N100" i="2"/>
  <c r="R110" i="2"/>
  <c r="S110" i="2" s="1"/>
  <c r="L123" i="2"/>
  <c r="R13" i="2"/>
  <c r="S13" i="2" s="1"/>
  <c r="L74" i="2"/>
  <c r="R87" i="2"/>
  <c r="S87" i="2" s="1"/>
  <c r="N88" i="2"/>
  <c r="R97" i="2"/>
  <c r="S97" i="2" s="1"/>
  <c r="L105" i="2"/>
  <c r="N109" i="2"/>
  <c r="L111" i="2"/>
  <c r="L114" i="2"/>
  <c r="L121" i="2"/>
  <c r="L129" i="2"/>
  <c r="G130" i="2"/>
  <c r="G134" i="2"/>
  <c r="L12" i="2"/>
  <c r="R38" i="2"/>
  <c r="S38" i="2" s="1"/>
  <c r="L67" i="2"/>
  <c r="K53" i="2"/>
  <c r="F82" i="2"/>
  <c r="L86" i="2"/>
  <c r="R100" i="2"/>
  <c r="S100" i="2" s="1"/>
  <c r="N114" i="2"/>
  <c r="T119" i="2"/>
  <c r="O121" i="2"/>
  <c r="R123" i="2"/>
  <c r="S123" i="2" s="1"/>
  <c r="N129" i="2"/>
  <c r="T92" i="2"/>
  <c r="L30" i="2"/>
  <c r="G38" i="2"/>
  <c r="L63" i="2"/>
  <c r="T12" i="2"/>
  <c r="L13" i="2"/>
  <c r="Q35" i="2"/>
  <c r="N48" i="2"/>
  <c r="R64" i="2"/>
  <c r="S64" i="2" s="1"/>
  <c r="N69" i="2"/>
  <c r="M13" i="2"/>
  <c r="M14" i="2" s="1"/>
  <c r="M22" i="2" s="1"/>
  <c r="T58" i="2"/>
  <c r="N86" i="2"/>
  <c r="T100" i="2"/>
  <c r="N101" i="2"/>
  <c r="R105" i="2"/>
  <c r="S105" i="2" s="1"/>
  <c r="R109" i="2"/>
  <c r="R111" i="2"/>
  <c r="S111" i="2" s="1"/>
  <c r="T114" i="2"/>
  <c r="N126" i="2"/>
  <c r="G129" i="2"/>
  <c r="L133" i="2"/>
  <c r="L68" i="2"/>
  <c r="T74" i="2"/>
  <c r="T80" i="2"/>
  <c r="T88" i="2"/>
  <c r="Q99" i="2"/>
  <c r="K108" i="2"/>
  <c r="T111" i="2"/>
  <c r="Q125" i="2"/>
  <c r="J73" i="2"/>
  <c r="J82" i="2"/>
  <c r="G33" i="2"/>
  <c r="I71" i="2"/>
  <c r="K57" i="2"/>
  <c r="K71" i="2" s="1"/>
  <c r="J57" i="2"/>
  <c r="J71" i="2" s="1"/>
  <c r="J11" i="2"/>
  <c r="K11" i="2"/>
  <c r="G19" i="2"/>
  <c r="E19" i="2"/>
  <c r="K35" i="2"/>
  <c r="G30" i="2"/>
  <c r="T32" i="2"/>
  <c r="N32" i="2"/>
  <c r="L32" i="2"/>
  <c r="R32" i="2"/>
  <c r="S32" i="2" s="1"/>
  <c r="T31" i="2"/>
  <c r="N31" i="2"/>
  <c r="L31" i="2"/>
  <c r="R31" i="2"/>
  <c r="S31" i="2" s="1"/>
  <c r="F35" i="2"/>
  <c r="G40" i="2"/>
  <c r="F11" i="2"/>
  <c r="F14" i="2" s="1"/>
  <c r="E11" i="2"/>
  <c r="T33" i="2"/>
  <c r="N33" i="2"/>
  <c r="L33" i="2"/>
  <c r="R33" i="2"/>
  <c r="S33" i="2" s="1"/>
  <c r="R39" i="2"/>
  <c r="S39" i="2" s="1"/>
  <c r="T39" i="2"/>
  <c r="O39" i="2"/>
  <c r="L39" i="2"/>
  <c r="G20" i="2"/>
  <c r="R24" i="2"/>
  <c r="T24" i="2"/>
  <c r="N24" i="2"/>
  <c r="N26" i="2" s="1"/>
  <c r="L24" i="2"/>
  <c r="G62" i="2"/>
  <c r="G65" i="2"/>
  <c r="G32" i="2"/>
  <c r="G9" i="2"/>
  <c r="Q13" i="2"/>
  <c r="Q14" i="2" s="1"/>
  <c r="L19" i="2"/>
  <c r="T19" i="2"/>
  <c r="O19" i="2"/>
  <c r="S29" i="2"/>
  <c r="G31" i="2"/>
  <c r="R34" i="2"/>
  <c r="S34" i="2" s="1"/>
  <c r="L34" i="2"/>
  <c r="T34" i="2"/>
  <c r="N34" i="2"/>
  <c r="K50" i="2"/>
  <c r="N46" i="2"/>
  <c r="L46" i="2"/>
  <c r="R46" i="2"/>
  <c r="T83" i="2"/>
  <c r="N83" i="2"/>
  <c r="L83" i="2"/>
  <c r="R83" i="2"/>
  <c r="R135" i="2"/>
  <c r="S135" i="2" s="1"/>
  <c r="T135" i="2"/>
  <c r="O135" i="2"/>
  <c r="L135" i="2"/>
  <c r="L47" i="2"/>
  <c r="R47" i="2"/>
  <c r="S47" i="2" s="1"/>
  <c r="J17" i="2"/>
  <c r="L18" i="2"/>
  <c r="J39" i="2"/>
  <c r="E40" i="2"/>
  <c r="K41" i="2"/>
  <c r="T42" i="2"/>
  <c r="O42" i="2"/>
  <c r="L42" i="2"/>
  <c r="N47" i="2"/>
  <c r="E57" i="2"/>
  <c r="Q82" i="2"/>
  <c r="F99" i="2"/>
  <c r="G101" i="2"/>
  <c r="G99" i="2" s="1"/>
  <c r="G106" i="2"/>
  <c r="O106" i="2" s="1"/>
  <c r="E9" i="2"/>
  <c r="J9" i="2"/>
  <c r="L10" i="2"/>
  <c r="F17" i="2"/>
  <c r="K17" i="2"/>
  <c r="O18" i="2"/>
  <c r="L29" i="2"/>
  <c r="E31" i="2"/>
  <c r="J31" i="2"/>
  <c r="E32" i="2"/>
  <c r="J32" i="2"/>
  <c r="E33" i="2"/>
  <c r="J33" i="2"/>
  <c r="G37" i="2"/>
  <c r="F39" i="2"/>
  <c r="K40" i="2"/>
  <c r="F41" i="2"/>
  <c r="Q71" i="2"/>
  <c r="R76" i="2"/>
  <c r="S76" i="2" s="1"/>
  <c r="K73" i="2"/>
  <c r="N76" i="2"/>
  <c r="R98" i="2"/>
  <c r="S98" i="2" s="1"/>
  <c r="T98" i="2"/>
  <c r="T113" i="2"/>
  <c r="L113" i="2"/>
  <c r="K112" i="2"/>
  <c r="R113" i="2"/>
  <c r="S113" i="2" s="1"/>
  <c r="N113" i="2"/>
  <c r="T136" i="2"/>
  <c r="O136" i="2"/>
  <c r="L136" i="2"/>
  <c r="R136" i="2"/>
  <c r="S136" i="2" s="1"/>
  <c r="F112" i="2"/>
  <c r="G114" i="2"/>
  <c r="G112" i="2" s="1"/>
  <c r="T93" i="2"/>
  <c r="N93" i="2"/>
  <c r="R93" i="2"/>
  <c r="S93" i="2" s="1"/>
  <c r="K9" i="2"/>
  <c r="N10" i="2"/>
  <c r="J49" i="2"/>
  <c r="T52" i="2"/>
  <c r="N52" i="2"/>
  <c r="N53" i="2" s="1"/>
  <c r="F71" i="2"/>
  <c r="T65" i="2"/>
  <c r="L76" i="2"/>
  <c r="L98" i="2"/>
  <c r="G46" i="2"/>
  <c r="L37" i="2"/>
  <c r="R42" i="2"/>
  <c r="S42" i="2" s="1"/>
  <c r="G49" i="2"/>
  <c r="T62" i="2"/>
  <c r="P95" i="2"/>
  <c r="T91" i="2"/>
  <c r="L91" i="2"/>
  <c r="R91" i="2"/>
  <c r="K90" i="2"/>
  <c r="R137" i="2"/>
  <c r="S137" i="2" s="1"/>
  <c r="O137" i="2"/>
  <c r="L137" i="2"/>
  <c r="T137" i="2"/>
  <c r="R37" i="2"/>
  <c r="E49" i="2"/>
  <c r="F53" i="2"/>
  <c r="G53" i="2" s="1"/>
  <c r="G52" i="2"/>
  <c r="S56" i="2"/>
  <c r="G84" i="2"/>
  <c r="G86" i="2"/>
  <c r="Q107" i="2"/>
  <c r="T107" i="2"/>
  <c r="R58" i="2"/>
  <c r="S58" i="2" s="1"/>
  <c r="G91" i="2"/>
  <c r="L130" i="2"/>
  <c r="R130" i="2"/>
  <c r="S130" i="2" s="1"/>
  <c r="T130" i="2"/>
  <c r="F132" i="2"/>
  <c r="G63" i="2"/>
  <c r="G67" i="2"/>
  <c r="F73" i="2"/>
  <c r="G76" i="2"/>
  <c r="G73" i="2" s="1"/>
  <c r="L78" i="2"/>
  <c r="L77" i="2" s="1"/>
  <c r="L80" i="2"/>
  <c r="L88" i="2"/>
  <c r="L92" i="2"/>
  <c r="R107" i="2"/>
  <c r="S107" i="2" s="1"/>
  <c r="N130" i="2"/>
  <c r="G133" i="2"/>
  <c r="G135" i="2"/>
  <c r="L56" i="2"/>
  <c r="L69" i="2"/>
  <c r="R69" i="2"/>
  <c r="S69" i="2" s="1"/>
  <c r="G78" i="2"/>
  <c r="G77" i="2" s="1"/>
  <c r="G81" i="2"/>
  <c r="G92" i="2"/>
  <c r="G107" i="2"/>
  <c r="N107" i="2"/>
  <c r="R117" i="2"/>
  <c r="L117" i="2"/>
  <c r="T138" i="2"/>
  <c r="O138" i="2"/>
  <c r="L138" i="2"/>
  <c r="R138" i="2"/>
  <c r="S138" i="2" s="1"/>
  <c r="T101" i="2"/>
  <c r="G119" i="2"/>
  <c r="O122" i="2"/>
  <c r="T122" i="2"/>
  <c r="L122" i="2"/>
  <c r="J132" i="2"/>
  <c r="K99" i="2"/>
  <c r="T102" i="2"/>
  <c r="N102" i="2"/>
  <c r="R104" i="2"/>
  <c r="S104" i="2" s="1"/>
  <c r="K103" i="2"/>
  <c r="R103" i="2" s="1"/>
  <c r="S103" i="2" s="1"/>
  <c r="T104" i="2"/>
  <c r="L104" i="2"/>
  <c r="G105" i="2"/>
  <c r="F103" i="2"/>
  <c r="G117" i="2"/>
  <c r="L127" i="2"/>
  <c r="T134" i="2"/>
  <c r="L134" i="2"/>
  <c r="R134" i="2"/>
  <c r="S134" i="2" s="1"/>
  <c r="G137" i="2"/>
  <c r="G139" i="2"/>
  <c r="R141" i="2"/>
  <c r="S141" i="2" s="1"/>
  <c r="N141" i="2"/>
  <c r="L141" i="2"/>
  <c r="Q103" i="2"/>
  <c r="G121" i="2"/>
  <c r="N127" i="2"/>
  <c r="O134" i="2"/>
  <c r="N85" i="2"/>
  <c r="N87" i="2"/>
  <c r="N89" i="2"/>
  <c r="L101" i="2"/>
  <c r="G110" i="2"/>
  <c r="G108" i="2" s="1"/>
  <c r="F118" i="2"/>
  <c r="R122" i="2"/>
  <c r="S122" i="2" s="1"/>
  <c r="T131" i="2"/>
  <c r="N131" i="2"/>
  <c r="R131" i="2"/>
  <c r="S131" i="2" s="1"/>
  <c r="L131" i="2"/>
  <c r="K125" i="2"/>
  <c r="T128" i="2"/>
  <c r="N128" i="2"/>
  <c r="R133" i="2"/>
  <c r="L109" i="2"/>
  <c r="F125" i="2"/>
  <c r="L128" i="2"/>
  <c r="K132" i="2"/>
  <c r="T140" i="2"/>
  <c r="O140" i="2"/>
  <c r="L140" i="2"/>
  <c r="R140" i="2"/>
  <c r="S140" i="2" s="1"/>
  <c r="L126" i="2"/>
  <c r="P116" i="1"/>
  <c r="N143" i="1"/>
  <c r="S117" i="2" l="1"/>
  <c r="S142" i="2" s="1"/>
  <c r="K115" i="2"/>
  <c r="S109" i="2"/>
  <c r="S108" i="2" s="1"/>
  <c r="R108" i="2"/>
  <c r="S126" i="2"/>
  <c r="S125" i="2" s="1"/>
  <c r="R125" i="2"/>
  <c r="Q115" i="2"/>
  <c r="Q22" i="2"/>
  <c r="S119" i="2"/>
  <c r="S118" i="2" s="1"/>
  <c r="R118" i="2"/>
  <c r="R142" i="2" s="1"/>
  <c r="L99" i="2"/>
  <c r="L25" i="2"/>
  <c r="N108" i="2"/>
  <c r="Q142" i="2"/>
  <c r="L108" i="2"/>
  <c r="K26" i="2"/>
  <c r="O73" i="2"/>
  <c r="O95" i="2" s="1"/>
  <c r="Q95" i="2"/>
  <c r="N84" i="2"/>
  <c r="N82" i="2" s="1"/>
  <c r="T25" i="2"/>
  <c r="O25" i="2"/>
  <c r="O26" i="2" s="1"/>
  <c r="N90" i="2"/>
  <c r="L84" i="2"/>
  <c r="L82" i="2" s="1"/>
  <c r="R84" i="2"/>
  <c r="S84" i="2" s="1"/>
  <c r="N71" i="2"/>
  <c r="O118" i="2"/>
  <c r="G90" i="2"/>
  <c r="L112" i="2"/>
  <c r="K43" i="2"/>
  <c r="K44" i="2" s="1"/>
  <c r="XEH131" i="2"/>
  <c r="L103" i="2"/>
  <c r="G125" i="2"/>
  <c r="K82" i="2"/>
  <c r="K95" i="2" s="1"/>
  <c r="L73" i="2"/>
  <c r="Q44" i="2"/>
  <c r="L26" i="2"/>
  <c r="F115" i="2"/>
  <c r="N99" i="2"/>
  <c r="N115" i="2" s="1"/>
  <c r="L132" i="2"/>
  <c r="R73" i="2"/>
  <c r="G71" i="2"/>
  <c r="K142" i="2"/>
  <c r="L118" i="2"/>
  <c r="F95" i="2"/>
  <c r="G50" i="2"/>
  <c r="F142" i="2"/>
  <c r="G35" i="2"/>
  <c r="M144" i="2"/>
  <c r="N50" i="2"/>
  <c r="S35" i="2"/>
  <c r="R77" i="2"/>
  <c r="S79" i="2"/>
  <c r="S77" i="2" s="1"/>
  <c r="O132" i="2"/>
  <c r="XEH130" i="2"/>
  <c r="M54" i="2"/>
  <c r="N112" i="2"/>
  <c r="S91" i="2"/>
  <c r="S90" i="2" s="1"/>
  <c r="R90" i="2"/>
  <c r="G11" i="2"/>
  <c r="G14" i="2" s="1"/>
  <c r="L125" i="2"/>
  <c r="O105" i="2"/>
  <c r="O103" i="2" s="1"/>
  <c r="O115" i="2" s="1"/>
  <c r="G103" i="2"/>
  <c r="G115" i="2" s="1"/>
  <c r="G118" i="2"/>
  <c r="S73" i="2"/>
  <c r="T17" i="2"/>
  <c r="O17" i="2"/>
  <c r="O21" i="2" s="1"/>
  <c r="O22" i="2" s="1"/>
  <c r="R17" i="2"/>
  <c r="L17" i="2"/>
  <c r="L21" i="2" s="1"/>
  <c r="T11" i="2"/>
  <c r="N11" i="2"/>
  <c r="L11" i="2"/>
  <c r="R11" i="2"/>
  <c r="S11" i="2" s="1"/>
  <c r="R112" i="2"/>
  <c r="S112" i="2" s="1"/>
  <c r="S115" i="2" s="1"/>
  <c r="T112" i="2"/>
  <c r="G41" i="2"/>
  <c r="G39" i="2"/>
  <c r="T103" i="2"/>
  <c r="T115" i="2" s="1"/>
  <c r="N125" i="2"/>
  <c r="N142" i="2" s="1"/>
  <c r="G17" i="2"/>
  <c r="G21" i="2" s="1"/>
  <c r="F21" i="2"/>
  <c r="F22" i="2" s="1"/>
  <c r="R35" i="2"/>
  <c r="N35" i="2"/>
  <c r="N44" i="2" s="1"/>
  <c r="R26" i="2"/>
  <c r="S24" i="2"/>
  <c r="S26" i="2" s="1"/>
  <c r="L90" i="2"/>
  <c r="T73" i="2"/>
  <c r="L57" i="2"/>
  <c r="L71" i="2" s="1"/>
  <c r="R57" i="2"/>
  <c r="G82" i="2"/>
  <c r="S37" i="2"/>
  <c r="T9" i="2"/>
  <c r="N9" i="2"/>
  <c r="L9" i="2"/>
  <c r="R9" i="2"/>
  <c r="R41" i="2"/>
  <c r="S41" i="2" s="1"/>
  <c r="O41" i="2"/>
  <c r="T41" i="2"/>
  <c r="L41" i="2"/>
  <c r="S83" i="2"/>
  <c r="S46" i="2"/>
  <c r="S50" i="2" s="1"/>
  <c r="R50" i="2"/>
  <c r="S133" i="2"/>
  <c r="S132" i="2" s="1"/>
  <c r="R132" i="2"/>
  <c r="T40" i="2"/>
  <c r="O40" i="2"/>
  <c r="R40" i="2"/>
  <c r="S40" i="2" s="1"/>
  <c r="L40" i="2"/>
  <c r="L35" i="2"/>
  <c r="G132" i="2"/>
  <c r="N73" i="2"/>
  <c r="L50" i="2"/>
  <c r="F43" i="2"/>
  <c r="F44" i="2" s="1"/>
  <c r="T91" i="1"/>
  <c r="P91" i="1"/>
  <c r="N91" i="1"/>
  <c r="T83" i="1"/>
  <c r="P83" i="1"/>
  <c r="N83" i="1"/>
  <c r="O81" i="1"/>
  <c r="T78" i="1"/>
  <c r="P78" i="1"/>
  <c r="N78" i="1"/>
  <c r="T74" i="1"/>
  <c r="P74" i="1"/>
  <c r="N74" i="1"/>
  <c r="T142" i="2" l="1"/>
  <c r="L115" i="2"/>
  <c r="P145" i="2"/>
  <c r="P147" i="2" s="1"/>
  <c r="L95" i="2"/>
  <c r="N95" i="2"/>
  <c r="S95" i="2"/>
  <c r="R95" i="2"/>
  <c r="R115" i="2"/>
  <c r="L43" i="2"/>
  <c r="L44" i="2" s="1"/>
  <c r="G43" i="2"/>
  <c r="G44" i="2" s="1"/>
  <c r="S82" i="2"/>
  <c r="G95" i="2"/>
  <c r="R82" i="2"/>
  <c r="Q145" i="2"/>
  <c r="Q147" i="2" s="1"/>
  <c r="N144" i="2"/>
  <c r="O142" i="2"/>
  <c r="O144" i="2" s="1"/>
  <c r="F144" i="2"/>
  <c r="T144" i="2"/>
  <c r="M145" i="2"/>
  <c r="M147" i="2" s="1"/>
  <c r="L142" i="2"/>
  <c r="O43" i="2"/>
  <c r="O44" i="2" s="1"/>
  <c r="O54" i="2" s="1"/>
  <c r="XEH127" i="2"/>
  <c r="G142" i="2"/>
  <c r="XEH129" i="2"/>
  <c r="F54" i="2"/>
  <c r="S9" i="2"/>
  <c r="S14" i="2" s="1"/>
  <c r="R14" i="2"/>
  <c r="L14" i="2"/>
  <c r="L22" i="2" s="1"/>
  <c r="N14" i="2"/>
  <c r="N22" i="2" s="1"/>
  <c r="N54" i="2" s="1"/>
  <c r="S43" i="2"/>
  <c r="S44" i="2" s="1"/>
  <c r="S57" i="2"/>
  <c r="S71" i="2" s="1"/>
  <c r="R71" i="2"/>
  <c r="S17" i="2"/>
  <c r="S21" i="2" s="1"/>
  <c r="R21" i="2"/>
  <c r="R43" i="2"/>
  <c r="R44" i="2" s="1"/>
  <c r="G22" i="2"/>
  <c r="T96" i="1"/>
  <c r="P96" i="1"/>
  <c r="N96" i="1"/>
  <c r="T13" i="1"/>
  <c r="G144" i="2" l="1"/>
  <c r="G54" i="2"/>
  <c r="G145" i="2" s="1"/>
  <c r="G147" i="2" s="1"/>
  <c r="K145" i="2"/>
  <c r="K147" i="2" s="1"/>
  <c r="K148" i="2" s="1"/>
  <c r="K149" i="2" s="1"/>
  <c r="S22" i="2"/>
  <c r="S54" i="2" s="1"/>
  <c r="N145" i="2"/>
  <c r="N147" i="2" s="1"/>
  <c r="N149" i="2" s="1"/>
  <c r="N152" i="2" s="1"/>
  <c r="XEH126" i="2"/>
  <c r="L54" i="2"/>
  <c r="O145" i="2"/>
  <c r="O147" i="2" s="1"/>
  <c r="O149" i="2" s="1"/>
  <c r="O152" i="2" s="1"/>
  <c r="F145" i="2"/>
  <c r="F147" i="2" s="1"/>
  <c r="P148" i="2"/>
  <c r="Q148" i="2" s="1"/>
  <c r="Q149" i="2" s="1"/>
  <c r="Q152" i="2" s="1"/>
  <c r="R22" i="2"/>
  <c r="R54" i="2" s="1"/>
  <c r="O114" i="1"/>
  <c r="Q114" i="1"/>
  <c r="Q113" i="1" s="1"/>
  <c r="R114" i="1"/>
  <c r="O115" i="1"/>
  <c r="Q115" i="1"/>
  <c r="R115" i="1"/>
  <c r="V115" i="1" s="1"/>
  <c r="L145" i="2" l="1"/>
  <c r="K152" i="2"/>
  <c r="S145" i="2"/>
  <c r="R145" i="2"/>
  <c r="R147" i="2" s="1"/>
  <c r="M148" i="2"/>
  <c r="M149" i="2" s="1"/>
  <c r="M152" i="2" s="1"/>
  <c r="T145" i="2"/>
  <c r="R148" i="2"/>
  <c r="S148" i="2" s="1"/>
  <c r="T147" i="2"/>
  <c r="G148" i="2"/>
  <c r="G149" i="2" s="1"/>
  <c r="G152" i="2" s="1"/>
  <c r="F148" i="2"/>
  <c r="S115" i="1"/>
  <c r="O113" i="1"/>
  <c r="S114" i="1"/>
  <c r="S113" i="1" s="1"/>
  <c r="R113" i="1"/>
  <c r="W115" i="1"/>
  <c r="V114" i="1"/>
  <c r="V113" i="1" s="1"/>
  <c r="L107" i="1"/>
  <c r="L106" i="1"/>
  <c r="L105" i="1"/>
  <c r="L103" i="1"/>
  <c r="N72" i="1"/>
  <c r="N50" i="1"/>
  <c r="N43" i="1"/>
  <c r="N35" i="1"/>
  <c r="N26" i="1"/>
  <c r="N21" i="1"/>
  <c r="N14" i="1"/>
  <c r="N22" i="1" s="1"/>
  <c r="N44" i="1" l="1"/>
  <c r="P152" i="2"/>
  <c r="T152" i="2" s="1"/>
  <c r="L147" i="2"/>
  <c r="L148" i="2" s="1"/>
  <c r="L149" i="2" s="1"/>
  <c r="S147" i="2"/>
  <c r="S149" i="2" s="1"/>
  <c r="S152" i="2" s="1"/>
  <c r="T149" i="2"/>
  <c r="R149" i="2"/>
  <c r="R152" i="2" s="1"/>
  <c r="F149" i="2"/>
  <c r="W114" i="1"/>
  <c r="W113" i="1" s="1"/>
  <c r="L104" i="1"/>
  <c r="R94" i="1"/>
  <c r="V94" i="1" s="1"/>
  <c r="L81" i="1"/>
  <c r="T50" i="1"/>
  <c r="L152" i="2" l="1"/>
  <c r="F152" i="2"/>
  <c r="T35" i="1"/>
  <c r="T53" i="1"/>
  <c r="T72" i="1"/>
  <c r="T142" i="1"/>
  <c r="T143" i="1" s="1"/>
  <c r="R71" i="1"/>
  <c r="V71" i="1" s="1"/>
  <c r="L141" i="1"/>
  <c r="U118" i="1" l="1"/>
  <c r="T108" i="1"/>
  <c r="T116" i="1" s="1"/>
  <c r="U99" i="1"/>
  <c r="U101" i="1"/>
  <c r="U102" i="1"/>
  <c r="U103" i="1"/>
  <c r="U105" i="1"/>
  <c r="U106" i="1"/>
  <c r="U107" i="1"/>
  <c r="U100" i="1" l="1"/>
  <c r="U104" i="1"/>
  <c r="O118" i="1"/>
  <c r="R118" i="1"/>
  <c r="Q118" i="1"/>
  <c r="R98" i="1"/>
  <c r="R99" i="1"/>
  <c r="V99" i="1" s="1"/>
  <c r="R101" i="1"/>
  <c r="R102" i="1"/>
  <c r="R103" i="1"/>
  <c r="R105" i="1"/>
  <c r="R106" i="1"/>
  <c r="R107" i="1"/>
  <c r="Q98" i="1"/>
  <c r="Q99" i="1"/>
  <c r="Q101" i="1"/>
  <c r="Q102" i="1"/>
  <c r="Q103" i="1"/>
  <c r="Q105" i="1"/>
  <c r="Q106" i="1"/>
  <c r="Q107" i="1"/>
  <c r="O98" i="1"/>
  <c r="O99" i="1"/>
  <c r="O101" i="1"/>
  <c r="O102" i="1"/>
  <c r="O103" i="1"/>
  <c r="O105" i="1"/>
  <c r="O106" i="1"/>
  <c r="O107" i="1"/>
  <c r="O104" i="1" l="1"/>
  <c r="R104" i="1"/>
  <c r="V118" i="1"/>
  <c r="Q104" i="1"/>
  <c r="O100" i="1"/>
  <c r="Q100" i="1"/>
  <c r="R100" i="1"/>
  <c r="S101" i="1"/>
  <c r="S100" i="1" s="1"/>
  <c r="V101" i="1"/>
  <c r="W99" i="1"/>
  <c r="S107" i="1"/>
  <c r="V107" i="1"/>
  <c r="S106" i="1"/>
  <c r="V106" i="1"/>
  <c r="S98" i="1"/>
  <c r="V98" i="1"/>
  <c r="S105" i="1"/>
  <c r="V105" i="1"/>
  <c r="S103" i="1"/>
  <c r="V103" i="1"/>
  <c r="S102" i="1"/>
  <c r="V102" i="1"/>
  <c r="S118" i="1"/>
  <c r="S99" i="1"/>
  <c r="V104" i="1" l="1"/>
  <c r="V100" i="1"/>
  <c r="S104" i="1"/>
  <c r="W118" i="1"/>
  <c r="X106" i="1"/>
  <c r="Y106" i="1" s="1"/>
  <c r="W106" i="1"/>
  <c r="Z106" i="1"/>
  <c r="X103" i="1"/>
  <c r="Y103" i="1" s="1"/>
  <c r="Z103" i="1"/>
  <c r="W103" i="1"/>
  <c r="X107" i="1"/>
  <c r="Y107" i="1" s="1"/>
  <c r="W107" i="1"/>
  <c r="Z107" i="1"/>
  <c r="X105" i="1"/>
  <c r="W105" i="1"/>
  <c r="Z105" i="1"/>
  <c r="W98" i="1"/>
  <c r="W101" i="1"/>
  <c r="W102" i="1"/>
  <c r="P53" i="1"/>
  <c r="N53" i="1"/>
  <c r="N54" i="1" s="1"/>
  <c r="P72" i="1"/>
  <c r="P50" i="1"/>
  <c r="P43" i="1"/>
  <c r="T43" i="1"/>
  <c r="T44" i="1" s="1"/>
  <c r="P35" i="1"/>
  <c r="P26" i="1"/>
  <c r="P21" i="1"/>
  <c r="P14" i="1"/>
  <c r="U9" i="1"/>
  <c r="W71" i="1"/>
  <c r="U146" i="1"/>
  <c r="U142" i="1"/>
  <c r="U141" i="1"/>
  <c r="U140" i="1"/>
  <c r="U139" i="1"/>
  <c r="U138" i="1"/>
  <c r="U137" i="1"/>
  <c r="U136" i="1"/>
  <c r="U135" i="1"/>
  <c r="U134" i="1"/>
  <c r="U132" i="1"/>
  <c r="U131" i="1"/>
  <c r="U130" i="1"/>
  <c r="U129" i="1"/>
  <c r="U128" i="1"/>
  <c r="U127" i="1"/>
  <c r="U124" i="1"/>
  <c r="U123" i="1"/>
  <c r="U122" i="1"/>
  <c r="U121" i="1"/>
  <c r="U120" i="1"/>
  <c r="U112" i="1"/>
  <c r="U111" i="1"/>
  <c r="U110" i="1"/>
  <c r="U108" i="1"/>
  <c r="U94" i="1"/>
  <c r="U93" i="1"/>
  <c r="U92" i="1"/>
  <c r="U90" i="1"/>
  <c r="U89" i="1"/>
  <c r="U88" i="1"/>
  <c r="U87" i="1"/>
  <c r="U86" i="1"/>
  <c r="U85" i="1"/>
  <c r="U84" i="1"/>
  <c r="U82" i="1"/>
  <c r="U81" i="1"/>
  <c r="U80" i="1"/>
  <c r="U79" i="1"/>
  <c r="U77" i="1"/>
  <c r="U76" i="1"/>
  <c r="U75" i="1"/>
  <c r="U71" i="1"/>
  <c r="U70" i="1"/>
  <c r="U69" i="1"/>
  <c r="U68" i="1"/>
  <c r="U67" i="1"/>
  <c r="U66" i="1"/>
  <c r="U65" i="1"/>
  <c r="U64" i="1"/>
  <c r="U63" i="1"/>
  <c r="U62" i="1"/>
  <c r="U61" i="1"/>
  <c r="U60" i="1"/>
  <c r="U59" i="1"/>
  <c r="U58" i="1"/>
  <c r="U57" i="1"/>
  <c r="U52" i="1"/>
  <c r="U49" i="1"/>
  <c r="U48" i="1"/>
  <c r="U47" i="1"/>
  <c r="U46" i="1"/>
  <c r="U42" i="1"/>
  <c r="U41" i="1"/>
  <c r="U40" i="1"/>
  <c r="U39" i="1"/>
  <c r="U38" i="1"/>
  <c r="U37" i="1"/>
  <c r="U34" i="1"/>
  <c r="U33" i="1"/>
  <c r="U32" i="1"/>
  <c r="U31" i="1"/>
  <c r="U30" i="1"/>
  <c r="U29" i="1"/>
  <c r="U25" i="1"/>
  <c r="U24" i="1"/>
  <c r="U20" i="1"/>
  <c r="U19" i="1"/>
  <c r="U18" i="1"/>
  <c r="U17" i="1"/>
  <c r="U10" i="1"/>
  <c r="U11" i="1"/>
  <c r="U12" i="1"/>
  <c r="U13" i="1"/>
  <c r="Q146" i="1"/>
  <c r="Q142" i="1"/>
  <c r="Q141" i="1"/>
  <c r="Q140" i="1"/>
  <c r="Q139" i="1"/>
  <c r="Q138" i="1"/>
  <c r="Q137" i="1"/>
  <c r="Q136" i="1"/>
  <c r="Q135" i="1"/>
  <c r="Q134" i="1"/>
  <c r="Q132" i="1"/>
  <c r="Q131" i="1"/>
  <c r="Q130" i="1"/>
  <c r="Q129" i="1"/>
  <c r="Q128" i="1"/>
  <c r="Q127" i="1"/>
  <c r="Q125" i="1"/>
  <c r="Q124" i="1"/>
  <c r="Q123" i="1"/>
  <c r="Q122" i="1"/>
  <c r="Q121" i="1"/>
  <c r="Q120" i="1"/>
  <c r="Q112" i="1"/>
  <c r="Q111" i="1"/>
  <c r="Q110" i="1"/>
  <c r="Q108" i="1"/>
  <c r="Q94" i="1"/>
  <c r="Q93" i="1"/>
  <c r="Q92" i="1"/>
  <c r="Q90" i="1"/>
  <c r="Q89" i="1"/>
  <c r="Q88" i="1"/>
  <c r="Q87" i="1"/>
  <c r="Q86" i="1"/>
  <c r="Q85" i="1"/>
  <c r="Q84" i="1"/>
  <c r="Q82" i="1"/>
  <c r="Q81" i="1"/>
  <c r="Q80" i="1"/>
  <c r="Q79" i="1"/>
  <c r="Q77" i="1"/>
  <c r="Q76" i="1"/>
  <c r="Q75" i="1"/>
  <c r="Q71" i="1"/>
  <c r="Q70" i="1"/>
  <c r="Q69" i="1"/>
  <c r="Q68" i="1"/>
  <c r="Q67" i="1"/>
  <c r="Q66" i="1"/>
  <c r="Q65" i="1"/>
  <c r="Q64" i="1"/>
  <c r="Q63" i="1"/>
  <c r="Q62" i="1"/>
  <c r="Q61" i="1"/>
  <c r="Q60" i="1"/>
  <c r="Q59" i="1"/>
  <c r="Q58" i="1"/>
  <c r="Q57" i="1"/>
  <c r="Q52" i="1"/>
  <c r="Q53" i="1" s="1"/>
  <c r="Q49" i="1"/>
  <c r="Q48" i="1"/>
  <c r="Q47" i="1"/>
  <c r="Q46" i="1"/>
  <c r="Q42" i="1"/>
  <c r="Q41" i="1"/>
  <c r="Q40" i="1"/>
  <c r="Q39" i="1"/>
  <c r="Q38" i="1"/>
  <c r="Q37" i="1"/>
  <c r="Q34" i="1"/>
  <c r="Q33" i="1"/>
  <c r="Q32" i="1"/>
  <c r="Q31" i="1"/>
  <c r="Q30" i="1"/>
  <c r="Q29" i="1"/>
  <c r="Q25" i="1"/>
  <c r="Q24" i="1"/>
  <c r="Q20" i="1"/>
  <c r="Q19" i="1"/>
  <c r="Q18" i="1"/>
  <c r="Q17" i="1"/>
  <c r="Q10" i="1"/>
  <c r="Q11" i="1"/>
  <c r="Q12" i="1"/>
  <c r="Q13" i="1"/>
  <c r="Q9" i="1"/>
  <c r="O146" i="1"/>
  <c r="O142" i="1"/>
  <c r="O141" i="1"/>
  <c r="O140" i="1"/>
  <c r="O139" i="1"/>
  <c r="O138" i="1"/>
  <c r="O137" i="1"/>
  <c r="O136" i="1"/>
  <c r="O135" i="1"/>
  <c r="O134" i="1"/>
  <c r="O132" i="1"/>
  <c r="O131" i="1"/>
  <c r="O130" i="1"/>
  <c r="O129" i="1"/>
  <c r="O128" i="1"/>
  <c r="O127" i="1"/>
  <c r="O125" i="1"/>
  <c r="O124" i="1"/>
  <c r="O123" i="1"/>
  <c r="O122" i="1"/>
  <c r="O121" i="1"/>
  <c r="O120" i="1"/>
  <c r="O112" i="1"/>
  <c r="O111" i="1"/>
  <c r="O110" i="1"/>
  <c r="O108" i="1"/>
  <c r="O94" i="1"/>
  <c r="O93" i="1"/>
  <c r="O92" i="1"/>
  <c r="O90" i="1"/>
  <c r="O89" i="1"/>
  <c r="O88" i="1"/>
  <c r="O87" i="1"/>
  <c r="O86" i="1"/>
  <c r="O85" i="1"/>
  <c r="O84" i="1"/>
  <c r="O82" i="1"/>
  <c r="O80" i="1"/>
  <c r="O79" i="1"/>
  <c r="O77" i="1"/>
  <c r="O76" i="1"/>
  <c r="O75" i="1"/>
  <c r="O71" i="1"/>
  <c r="O70" i="1"/>
  <c r="O69" i="1"/>
  <c r="O68" i="1"/>
  <c r="O67" i="1"/>
  <c r="O66" i="1"/>
  <c r="O65" i="1"/>
  <c r="O64" i="1"/>
  <c r="O63" i="1"/>
  <c r="O62" i="1"/>
  <c r="O61" i="1"/>
  <c r="O60" i="1"/>
  <c r="O59" i="1"/>
  <c r="O58" i="1"/>
  <c r="O57" i="1"/>
  <c r="O52" i="1"/>
  <c r="O53" i="1" s="1"/>
  <c r="O49" i="1"/>
  <c r="O48" i="1"/>
  <c r="O47" i="1"/>
  <c r="O46" i="1"/>
  <c r="O42" i="1"/>
  <c r="O41" i="1"/>
  <c r="O40" i="1"/>
  <c r="O39" i="1"/>
  <c r="O38" i="1"/>
  <c r="O37" i="1"/>
  <c r="O34" i="1"/>
  <c r="O33" i="1"/>
  <c r="O32" i="1"/>
  <c r="O31" i="1"/>
  <c r="O30" i="1"/>
  <c r="O29" i="1"/>
  <c r="O25" i="1"/>
  <c r="O24" i="1"/>
  <c r="O26" i="1" s="1"/>
  <c r="O20" i="1"/>
  <c r="O19" i="1"/>
  <c r="O18" i="1"/>
  <c r="O17" i="1"/>
  <c r="O10" i="1"/>
  <c r="O11" i="1"/>
  <c r="O12" i="1"/>
  <c r="O13" i="1"/>
  <c r="O9" i="1"/>
  <c r="R146" i="1"/>
  <c r="R142" i="1"/>
  <c r="R141" i="1"/>
  <c r="R140" i="1"/>
  <c r="V140" i="1" s="1"/>
  <c r="R139" i="1"/>
  <c r="R138" i="1"/>
  <c r="R137" i="1"/>
  <c r="R136" i="1"/>
  <c r="V136" i="1" s="1"/>
  <c r="W136" i="1" s="1"/>
  <c r="R135" i="1"/>
  <c r="R134" i="1"/>
  <c r="R132" i="1"/>
  <c r="V132" i="1" s="1"/>
  <c r="W132" i="1" s="1"/>
  <c r="R131" i="1"/>
  <c r="R130" i="1"/>
  <c r="R129" i="1"/>
  <c r="R128" i="1"/>
  <c r="R127" i="1"/>
  <c r="R125" i="1"/>
  <c r="R124" i="1"/>
  <c r="V124" i="1" s="1"/>
  <c r="W124" i="1" s="1"/>
  <c r="R123" i="1"/>
  <c r="R122" i="1"/>
  <c r="R121" i="1"/>
  <c r="R120" i="1"/>
  <c r="R112" i="1"/>
  <c r="V112" i="1" s="1"/>
  <c r="R111" i="1"/>
  <c r="R110" i="1"/>
  <c r="R108" i="1"/>
  <c r="R93" i="1"/>
  <c r="V93" i="1" s="1"/>
  <c r="R92" i="1"/>
  <c r="R90" i="1"/>
  <c r="R89" i="1"/>
  <c r="V89" i="1" s="1"/>
  <c r="R88" i="1"/>
  <c r="V88" i="1" s="1"/>
  <c r="W88" i="1" s="1"/>
  <c r="R87" i="1"/>
  <c r="V87" i="1" s="1"/>
  <c r="W87" i="1" s="1"/>
  <c r="R86" i="1"/>
  <c r="R85" i="1"/>
  <c r="R84" i="1"/>
  <c r="R82" i="1"/>
  <c r="R81" i="1"/>
  <c r="R80" i="1"/>
  <c r="R79" i="1"/>
  <c r="R77" i="1"/>
  <c r="V77" i="1" s="1"/>
  <c r="W77" i="1" s="1"/>
  <c r="R76" i="1"/>
  <c r="V76" i="1" s="1"/>
  <c r="W76" i="1" s="1"/>
  <c r="R75" i="1"/>
  <c r="S71" i="1"/>
  <c r="R70" i="1"/>
  <c r="R69" i="1"/>
  <c r="R68" i="1"/>
  <c r="R67" i="1"/>
  <c r="R66" i="1"/>
  <c r="R65" i="1"/>
  <c r="R64" i="1"/>
  <c r="R63" i="1"/>
  <c r="R62" i="1"/>
  <c r="R61" i="1"/>
  <c r="R60" i="1"/>
  <c r="R59" i="1"/>
  <c r="R58" i="1"/>
  <c r="R57" i="1"/>
  <c r="R52" i="1"/>
  <c r="V52" i="1" s="1"/>
  <c r="R49" i="1"/>
  <c r="R48" i="1"/>
  <c r="R47" i="1"/>
  <c r="R46" i="1"/>
  <c r="R42" i="1"/>
  <c r="R41" i="1"/>
  <c r="R40" i="1"/>
  <c r="R39" i="1"/>
  <c r="R38" i="1"/>
  <c r="R37" i="1"/>
  <c r="V37" i="1" s="1"/>
  <c r="W37" i="1" s="1"/>
  <c r="R34" i="1"/>
  <c r="R33" i="1"/>
  <c r="R32" i="1"/>
  <c r="R31" i="1"/>
  <c r="R30" i="1"/>
  <c r="R29" i="1"/>
  <c r="R25" i="1"/>
  <c r="R24" i="1"/>
  <c r="R20" i="1"/>
  <c r="R19" i="1"/>
  <c r="R18" i="1"/>
  <c r="R17" i="1"/>
  <c r="R10" i="1"/>
  <c r="R11" i="1"/>
  <c r="V11" i="1" s="1"/>
  <c r="W11" i="1" s="1"/>
  <c r="R12" i="1"/>
  <c r="R13" i="1"/>
  <c r="R9" i="1"/>
  <c r="R78" i="1" l="1"/>
  <c r="Q109" i="1"/>
  <c r="Q116" i="1" s="1"/>
  <c r="Q78" i="1"/>
  <c r="U26" i="1"/>
  <c r="O119" i="1"/>
  <c r="Q83" i="1"/>
  <c r="U109" i="1"/>
  <c r="U116" i="1" s="1"/>
  <c r="U126" i="1"/>
  <c r="W104" i="1"/>
  <c r="O91" i="1"/>
  <c r="Q74" i="1"/>
  <c r="U78" i="1"/>
  <c r="R119" i="1"/>
  <c r="O74" i="1"/>
  <c r="U91" i="1"/>
  <c r="R74" i="1"/>
  <c r="O78" i="1"/>
  <c r="Q26" i="1"/>
  <c r="Q91" i="1"/>
  <c r="S11" i="1"/>
  <c r="O83" i="1"/>
  <c r="S132" i="1"/>
  <c r="Q126" i="1"/>
  <c r="Y105" i="1"/>
  <c r="Y104" i="1" s="1"/>
  <c r="X104" i="1"/>
  <c r="S136" i="1"/>
  <c r="W100" i="1"/>
  <c r="R83" i="1"/>
  <c r="U119" i="1"/>
  <c r="O133" i="1"/>
  <c r="R109" i="1"/>
  <c r="R116" i="1" s="1"/>
  <c r="R133" i="1"/>
  <c r="S140" i="1"/>
  <c r="O109" i="1"/>
  <c r="O116" i="1" s="1"/>
  <c r="U83" i="1"/>
  <c r="S37" i="1"/>
  <c r="S89" i="1"/>
  <c r="Q43" i="1"/>
  <c r="V92" i="1"/>
  <c r="V91" i="1" s="1"/>
  <c r="R91" i="1"/>
  <c r="Q133" i="1"/>
  <c r="O35" i="1"/>
  <c r="S88" i="1"/>
  <c r="R126" i="1"/>
  <c r="O126" i="1"/>
  <c r="Q119" i="1"/>
  <c r="U74" i="1"/>
  <c r="U133" i="1"/>
  <c r="S10" i="1"/>
  <c r="V10" i="1"/>
  <c r="V108" i="1"/>
  <c r="S108" i="1"/>
  <c r="S30" i="1"/>
  <c r="V30" i="1"/>
  <c r="S39" i="1"/>
  <c r="V39" i="1"/>
  <c r="S52" i="1"/>
  <c r="S53" i="1" s="1"/>
  <c r="R53" i="1"/>
  <c r="S64" i="1"/>
  <c r="V64" i="1"/>
  <c r="V84" i="1"/>
  <c r="S84" i="1"/>
  <c r="S139" i="1"/>
  <c r="V139" i="1"/>
  <c r="V85" i="1"/>
  <c r="S85" i="1"/>
  <c r="Q72" i="1"/>
  <c r="S134" i="1"/>
  <c r="V134" i="1"/>
  <c r="V17" i="1"/>
  <c r="S17" i="1"/>
  <c r="V120" i="1"/>
  <c r="S120" i="1"/>
  <c r="V128" i="1"/>
  <c r="S128" i="1"/>
  <c r="S25" i="1"/>
  <c r="V25" i="1"/>
  <c r="S48" i="1"/>
  <c r="V48" i="1"/>
  <c r="S62" i="1"/>
  <c r="V62" i="1"/>
  <c r="V70" i="1"/>
  <c r="S70" i="1"/>
  <c r="V80" i="1"/>
  <c r="S80" i="1"/>
  <c r="S121" i="1"/>
  <c r="V121" i="1"/>
  <c r="S29" i="1"/>
  <c r="V29" i="1"/>
  <c r="S38" i="1"/>
  <c r="V38" i="1"/>
  <c r="S49" i="1"/>
  <c r="V49" i="1"/>
  <c r="W49" i="1" s="1"/>
  <c r="S63" i="1"/>
  <c r="V63" i="1"/>
  <c r="S79" i="1"/>
  <c r="V79" i="1"/>
  <c r="S127" i="1"/>
  <c r="V127" i="1"/>
  <c r="U50" i="1"/>
  <c r="S31" i="1"/>
  <c r="V31" i="1"/>
  <c r="S40" i="1"/>
  <c r="V40" i="1"/>
  <c r="S57" i="1"/>
  <c r="V57" i="1"/>
  <c r="S65" i="1"/>
  <c r="V65" i="1"/>
  <c r="S90" i="1"/>
  <c r="V90" i="1"/>
  <c r="S110" i="1"/>
  <c r="V110" i="1"/>
  <c r="S122" i="1"/>
  <c r="V122" i="1"/>
  <c r="S135" i="1"/>
  <c r="V135" i="1"/>
  <c r="S141" i="1"/>
  <c r="V141" i="1"/>
  <c r="Q35" i="1"/>
  <c r="Q44" i="1" s="1"/>
  <c r="W112" i="1"/>
  <c r="P144" i="1"/>
  <c r="S9" i="1"/>
  <c r="V9" i="1"/>
  <c r="S18" i="1"/>
  <c r="V18" i="1"/>
  <c r="S32" i="1"/>
  <c r="V32" i="1"/>
  <c r="S41" i="1"/>
  <c r="V41" i="1"/>
  <c r="S58" i="1"/>
  <c r="V58" i="1"/>
  <c r="S66" i="1"/>
  <c r="V66" i="1"/>
  <c r="S75" i="1"/>
  <c r="V75" i="1"/>
  <c r="S81" i="1"/>
  <c r="V81" i="1"/>
  <c r="S86" i="1"/>
  <c r="V86" i="1"/>
  <c r="S111" i="1"/>
  <c r="V111" i="1"/>
  <c r="S123" i="1"/>
  <c r="V123" i="1"/>
  <c r="S129" i="1"/>
  <c r="V129" i="1"/>
  <c r="S142" i="1"/>
  <c r="O21" i="1"/>
  <c r="Q50" i="1"/>
  <c r="S33" i="1"/>
  <c r="V33" i="1"/>
  <c r="S67" i="1"/>
  <c r="V67" i="1"/>
  <c r="S130" i="1"/>
  <c r="V130" i="1"/>
  <c r="S146" i="1"/>
  <c r="V146" i="1"/>
  <c r="S13" i="1"/>
  <c r="V13" i="1"/>
  <c r="S34" i="1"/>
  <c r="V34" i="1"/>
  <c r="S68" i="1"/>
  <c r="V68" i="1"/>
  <c r="S124" i="1"/>
  <c r="S137" i="1"/>
  <c r="V137" i="1"/>
  <c r="U72" i="1"/>
  <c r="W89" i="1"/>
  <c r="S19" i="1"/>
  <c r="V19" i="1"/>
  <c r="S42" i="1"/>
  <c r="V42" i="1"/>
  <c r="S59" i="1"/>
  <c r="V59" i="1"/>
  <c r="S82" i="1"/>
  <c r="V82" i="1"/>
  <c r="W82" i="1" s="1"/>
  <c r="S12" i="1"/>
  <c r="V12" i="1"/>
  <c r="S20" i="1"/>
  <c r="V20" i="1"/>
  <c r="W20" i="1" s="1"/>
  <c r="S46" i="1"/>
  <c r="V46" i="1"/>
  <c r="S60" i="1"/>
  <c r="V60" i="1"/>
  <c r="S87" i="1"/>
  <c r="S112" i="1"/>
  <c r="S131" i="1"/>
  <c r="V131" i="1"/>
  <c r="S24" i="1"/>
  <c r="S26" i="1" s="1"/>
  <c r="V24" i="1"/>
  <c r="S47" i="1"/>
  <c r="V47" i="1"/>
  <c r="S61" i="1"/>
  <c r="V61" i="1"/>
  <c r="S69" i="1"/>
  <c r="V69" i="1"/>
  <c r="S77" i="1"/>
  <c r="S125" i="1"/>
  <c r="V125" i="1"/>
  <c r="S138" i="1"/>
  <c r="V138" i="1"/>
  <c r="U43" i="1"/>
  <c r="U21" i="1"/>
  <c r="S94" i="1"/>
  <c r="S92" i="1"/>
  <c r="S93" i="1"/>
  <c r="U35" i="1"/>
  <c r="U14" i="1"/>
  <c r="T54" i="1"/>
  <c r="O72" i="1"/>
  <c r="O50" i="1"/>
  <c r="O43" i="1"/>
  <c r="O14" i="1"/>
  <c r="N144" i="1"/>
  <c r="S76" i="1"/>
  <c r="R72" i="1"/>
  <c r="R50" i="1"/>
  <c r="P44" i="1"/>
  <c r="R43" i="1"/>
  <c r="R35" i="1"/>
  <c r="R26" i="1"/>
  <c r="Q21" i="1"/>
  <c r="R21" i="1"/>
  <c r="Q14" i="1"/>
  <c r="R14" i="1"/>
  <c r="P22" i="1"/>
  <c r="K75" i="1"/>
  <c r="L75" i="1"/>
  <c r="K79" i="1"/>
  <c r="L79" i="1" s="1"/>
  <c r="E9" i="1"/>
  <c r="F9" i="1" s="1"/>
  <c r="E10" i="1"/>
  <c r="F10" i="1" s="1"/>
  <c r="E11" i="1"/>
  <c r="F11" i="1" s="1"/>
  <c r="E13" i="1"/>
  <c r="F13" i="1" s="1"/>
  <c r="F15" i="1"/>
  <c r="F16" i="1"/>
  <c r="C17" i="1"/>
  <c r="E17" i="1" s="1"/>
  <c r="F17" i="1" s="1"/>
  <c r="E18" i="1"/>
  <c r="F18" i="1" s="1"/>
  <c r="E19" i="1"/>
  <c r="F19" i="1" s="1"/>
  <c r="C20" i="1"/>
  <c r="E20" i="1" s="1"/>
  <c r="F20" i="1" s="1"/>
  <c r="F23" i="1"/>
  <c r="E24" i="1"/>
  <c r="E25" i="1"/>
  <c r="F25" i="1" s="1"/>
  <c r="F27" i="1"/>
  <c r="E29" i="1"/>
  <c r="E30" i="1"/>
  <c r="F30" i="1" s="1"/>
  <c r="E31" i="1"/>
  <c r="F31" i="1" s="1"/>
  <c r="E32" i="1"/>
  <c r="F32" i="1" s="1"/>
  <c r="E33" i="1"/>
  <c r="F33" i="1" s="1"/>
  <c r="E37" i="1"/>
  <c r="F37" i="1" s="1"/>
  <c r="E38" i="1"/>
  <c r="F38" i="1" s="1"/>
  <c r="E39" i="1"/>
  <c r="F39" i="1" s="1"/>
  <c r="E40" i="1"/>
  <c r="F40" i="1" s="1"/>
  <c r="E41" i="1"/>
  <c r="F41" i="1" s="1"/>
  <c r="F45" i="1"/>
  <c r="E46" i="1"/>
  <c r="F46" i="1" s="1"/>
  <c r="E47" i="1"/>
  <c r="E48" i="1"/>
  <c r="F48" i="1" s="1"/>
  <c r="E49" i="1"/>
  <c r="F49" i="1" s="1"/>
  <c r="F51" i="1"/>
  <c r="F56" i="1"/>
  <c r="E57" i="1"/>
  <c r="F57" i="1" s="1"/>
  <c r="E58" i="1"/>
  <c r="E60" i="1"/>
  <c r="F60" i="1" s="1"/>
  <c r="E62" i="1"/>
  <c r="F62" i="1" s="1"/>
  <c r="E66" i="1"/>
  <c r="F66" i="1" s="1"/>
  <c r="E67" i="1"/>
  <c r="F67" i="1" s="1"/>
  <c r="E70" i="1"/>
  <c r="F70" i="1" s="1"/>
  <c r="E71" i="1"/>
  <c r="F71" i="1" s="1"/>
  <c r="F73" i="1"/>
  <c r="E74" i="1"/>
  <c r="F74" i="1" s="1"/>
  <c r="E78" i="1"/>
  <c r="F78" i="1" s="1"/>
  <c r="E81" i="1"/>
  <c r="F81" i="1" s="1"/>
  <c r="E82" i="1"/>
  <c r="F82" i="1" s="1"/>
  <c r="E95" i="1"/>
  <c r="F95" i="1" s="1"/>
  <c r="E98" i="1"/>
  <c r="F98" i="1" s="1"/>
  <c r="E99" i="1"/>
  <c r="F99" i="1" s="1"/>
  <c r="E100" i="1"/>
  <c r="F100" i="1" s="1"/>
  <c r="E118" i="1"/>
  <c r="E125" i="1"/>
  <c r="F125" i="1" s="1"/>
  <c r="E126" i="1"/>
  <c r="F126" i="1" s="1"/>
  <c r="F150" i="1"/>
  <c r="F151" i="1"/>
  <c r="Q96" i="1" l="1"/>
  <c r="S91" i="1"/>
  <c r="O143" i="1"/>
  <c r="S78" i="1"/>
  <c r="R143" i="1"/>
  <c r="O96" i="1"/>
  <c r="O144" i="1" s="1"/>
  <c r="V43" i="1"/>
  <c r="R96" i="1"/>
  <c r="O44" i="1"/>
  <c r="X79" i="1"/>
  <c r="Y79" i="1" s="1"/>
  <c r="S109" i="1"/>
  <c r="S116" i="1" s="1"/>
  <c r="S21" i="1"/>
  <c r="V119" i="1"/>
  <c r="X75" i="1"/>
  <c r="Y75" i="1" s="1"/>
  <c r="U96" i="1"/>
  <c r="V133" i="1"/>
  <c r="Q143" i="1"/>
  <c r="S72" i="1"/>
  <c r="S14" i="1"/>
  <c r="V126" i="1"/>
  <c r="S35" i="1"/>
  <c r="S133" i="1"/>
  <c r="S126" i="1"/>
  <c r="S43" i="1"/>
  <c r="W75" i="1"/>
  <c r="W74" i="1" s="1"/>
  <c r="V74" i="1"/>
  <c r="S74" i="1"/>
  <c r="S83" i="1"/>
  <c r="V83" i="1"/>
  <c r="O22" i="1"/>
  <c r="S50" i="1"/>
  <c r="V109" i="1"/>
  <c r="V116" i="1" s="1"/>
  <c r="W79" i="1"/>
  <c r="V78" i="1"/>
  <c r="S119" i="1"/>
  <c r="U143" i="1"/>
  <c r="W12" i="1"/>
  <c r="W19" i="1"/>
  <c r="X67" i="1"/>
  <c r="Y67" i="1" s="1"/>
  <c r="W67" i="1"/>
  <c r="W86" i="1"/>
  <c r="X141" i="1"/>
  <c r="Y141" i="1" s="1"/>
  <c r="Z141" i="1"/>
  <c r="W141" i="1"/>
  <c r="W90" i="1"/>
  <c r="W31" i="1"/>
  <c r="W127" i="1"/>
  <c r="W80" i="1"/>
  <c r="W47" i="1"/>
  <c r="W68" i="1"/>
  <c r="W58" i="1"/>
  <c r="V14" i="1"/>
  <c r="W9" i="1"/>
  <c r="W38" i="1"/>
  <c r="W30" i="1"/>
  <c r="W60" i="1"/>
  <c r="W33" i="1"/>
  <c r="W64" i="1"/>
  <c r="W34" i="1"/>
  <c r="W41" i="1"/>
  <c r="V35" i="1"/>
  <c r="W29" i="1"/>
  <c r="X62" i="1"/>
  <c r="W62" i="1"/>
  <c r="V21" i="1"/>
  <c r="W17" i="1"/>
  <c r="W139" i="1"/>
  <c r="W129" i="1"/>
  <c r="W65" i="1"/>
  <c r="W70" i="1"/>
  <c r="W128" i="1"/>
  <c r="W138" i="1"/>
  <c r="W24" i="1"/>
  <c r="V50" i="1"/>
  <c r="W46" i="1"/>
  <c r="W59" i="1"/>
  <c r="W130" i="1"/>
  <c r="W123" i="1"/>
  <c r="W122" i="1"/>
  <c r="V72" i="1"/>
  <c r="W57" i="1"/>
  <c r="W120" i="1"/>
  <c r="W134" i="1"/>
  <c r="X81" i="1"/>
  <c r="W81" i="1"/>
  <c r="W85" i="1"/>
  <c r="W69" i="1"/>
  <c r="W32" i="1"/>
  <c r="W63" i="1"/>
  <c r="W121" i="1"/>
  <c r="W48" i="1"/>
  <c r="V53" i="1"/>
  <c r="W52" i="1"/>
  <c r="W108" i="1"/>
  <c r="W135" i="1"/>
  <c r="W131" i="1"/>
  <c r="W42" i="1"/>
  <c r="W137" i="1"/>
  <c r="W13" i="1"/>
  <c r="W111" i="1"/>
  <c r="W110" i="1"/>
  <c r="W40" i="1"/>
  <c r="W84" i="1"/>
  <c r="W10" i="1"/>
  <c r="W61" i="1"/>
  <c r="W142" i="1"/>
  <c r="W66" i="1"/>
  <c r="W18" i="1"/>
  <c r="V26" i="1"/>
  <c r="W25" i="1"/>
  <c r="W39" i="1"/>
  <c r="U44" i="1"/>
  <c r="U22" i="1"/>
  <c r="W140" i="1"/>
  <c r="W94" i="1"/>
  <c r="W92" i="1"/>
  <c r="W93" i="1"/>
  <c r="T145" i="1"/>
  <c r="T147" i="1" s="1"/>
  <c r="N145" i="1"/>
  <c r="R22" i="1"/>
  <c r="M79" i="1"/>
  <c r="Z79" i="1"/>
  <c r="M75" i="1"/>
  <c r="Z75" i="1"/>
  <c r="R44" i="1"/>
  <c r="Q22" i="1"/>
  <c r="E26" i="1"/>
  <c r="F26" i="1" s="1"/>
  <c r="E43" i="1"/>
  <c r="F43" i="1" s="1"/>
  <c r="E96" i="1"/>
  <c r="E14" i="1"/>
  <c r="E116" i="1"/>
  <c r="F116" i="1" s="1"/>
  <c r="E72" i="1"/>
  <c r="E143" i="1"/>
  <c r="F143" i="1" s="1"/>
  <c r="E50" i="1"/>
  <c r="F50" i="1" s="1"/>
  <c r="E35" i="1"/>
  <c r="F35" i="1" s="1"/>
  <c r="F14" i="1"/>
  <c r="F96" i="1"/>
  <c r="F118" i="1"/>
  <c r="F58" i="1"/>
  <c r="F72" i="1" s="1"/>
  <c r="F47" i="1"/>
  <c r="F29" i="1"/>
  <c r="F24" i="1"/>
  <c r="E21" i="1"/>
  <c r="F21" i="1" s="1"/>
  <c r="O54" i="1" l="1"/>
  <c r="V44" i="1"/>
  <c r="S22" i="1"/>
  <c r="Q144" i="1"/>
  <c r="S96" i="1"/>
  <c r="W35" i="1"/>
  <c r="W109" i="1"/>
  <c r="W116" i="1" s="1"/>
  <c r="W119" i="1"/>
  <c r="W26" i="1"/>
  <c r="V96" i="1"/>
  <c r="S44" i="1"/>
  <c r="W126" i="1"/>
  <c r="W78" i="1"/>
  <c r="W83" i="1"/>
  <c r="V143" i="1"/>
  <c r="W91" i="1"/>
  <c r="S143" i="1"/>
  <c r="W133" i="1"/>
  <c r="W50" i="1"/>
  <c r="Y81" i="1"/>
  <c r="W72" i="1"/>
  <c r="W21" i="1"/>
  <c r="W43" i="1"/>
  <c r="W14" i="1"/>
  <c r="V22" i="1"/>
  <c r="N147" i="1"/>
  <c r="N148" i="1" s="1"/>
  <c r="O145" i="1"/>
  <c r="O147" i="1" s="1"/>
  <c r="P54" i="1"/>
  <c r="P145" i="1" s="1"/>
  <c r="P147" i="1" s="1"/>
  <c r="P148" i="1" s="1"/>
  <c r="E44" i="1"/>
  <c r="F44" i="1" s="1"/>
  <c r="E22" i="1"/>
  <c r="F22" i="1" s="1"/>
  <c r="E144" i="1"/>
  <c r="F144" i="1" s="1"/>
  <c r="W44" i="1" l="1"/>
  <c r="W96" i="1"/>
  <c r="W143" i="1"/>
  <c r="T148" i="1"/>
  <c r="W22" i="1"/>
  <c r="P149" i="1"/>
  <c r="P152" i="1" s="1"/>
  <c r="Q148" i="1"/>
  <c r="O148" i="1"/>
  <c r="O149" i="1" s="1"/>
  <c r="O152" i="1" s="1"/>
  <c r="R148" i="1"/>
  <c r="S148" i="1" s="1"/>
  <c r="N149" i="1"/>
  <c r="Q54" i="1"/>
  <c r="Q145" i="1" s="1"/>
  <c r="Q147" i="1" s="1"/>
  <c r="E54" i="1"/>
  <c r="E145" i="1" s="1"/>
  <c r="F54" i="1"/>
  <c r="T149" i="1" l="1"/>
  <c r="T152" i="1" s="1"/>
  <c r="Q149" i="1"/>
  <c r="Q152" i="1" s="1"/>
  <c r="U148" i="1"/>
  <c r="N152" i="1"/>
  <c r="R152" i="1" s="1"/>
  <c r="R54" i="1"/>
  <c r="R145" i="1" s="1"/>
  <c r="V145" i="1" s="1"/>
  <c r="E146" i="1"/>
  <c r="F146" i="1" s="1"/>
  <c r="F145" i="1"/>
  <c r="Z147" i="1" l="1"/>
  <c r="R147" i="1"/>
  <c r="R149" i="1" s="1"/>
  <c r="S152" i="1"/>
  <c r="S54" i="1"/>
  <c r="S145" i="1" s="1"/>
  <c r="S147" i="1" s="1"/>
  <c r="S149" i="1" s="1"/>
  <c r="E147" i="1"/>
  <c r="V148" i="1" l="1"/>
  <c r="W145" i="1"/>
  <c r="W147" i="1" s="1"/>
  <c r="F147" i="1"/>
  <c r="E148" i="1"/>
  <c r="F148" i="1" s="1"/>
  <c r="E149" i="1" l="1"/>
  <c r="Z152" i="1" l="1"/>
  <c r="W148" i="1"/>
  <c r="W149" i="1" s="1"/>
  <c r="W152" i="1" s="1"/>
  <c r="E152" i="1"/>
  <c r="F152" i="1" s="1"/>
  <c r="F149" i="1"/>
  <c r="J11" i="1"/>
  <c r="G149" i="1" l="1"/>
  <c r="G148" i="1"/>
  <c r="G144" i="1"/>
  <c r="G44" i="1"/>
  <c r="G116" i="1"/>
  <c r="G26" i="1"/>
  <c r="G22" i="1"/>
  <c r="G43" i="1"/>
  <c r="G96" i="1"/>
  <c r="G35" i="1"/>
  <c r="G50" i="1"/>
  <c r="G145" i="1"/>
  <c r="G147" i="1"/>
  <c r="G72" i="1"/>
  <c r="G54" i="1"/>
  <c r="G14" i="1"/>
  <c r="G21" i="1"/>
  <c r="G143" i="1"/>
  <c r="L142" i="1"/>
  <c r="K142" i="1"/>
  <c r="J25" i="1"/>
  <c r="J24" i="1"/>
  <c r="K24" i="1" s="1"/>
  <c r="M142" i="1" l="1"/>
  <c r="Z142" i="1"/>
  <c r="X142" i="1"/>
  <c r="Y142" i="1" s="1"/>
  <c r="K120" i="1"/>
  <c r="K118" i="1"/>
  <c r="J17" i="1"/>
  <c r="L139" i="1" l="1"/>
  <c r="L140" i="1"/>
  <c r="L118" i="1"/>
  <c r="X118" i="1" s="1"/>
  <c r="L108" i="1"/>
  <c r="L99" i="1"/>
  <c r="L98" i="1"/>
  <c r="K141" i="1"/>
  <c r="K139" i="1"/>
  <c r="L129" i="1"/>
  <c r="Y118" i="1" l="1"/>
  <c r="X129" i="1"/>
  <c r="Y129" i="1" s="1"/>
  <c r="Z129" i="1"/>
  <c r="X139" i="1"/>
  <c r="Y139" i="1" s="1"/>
  <c r="Z139" i="1"/>
  <c r="X98" i="1"/>
  <c r="Z98" i="1"/>
  <c r="X99" i="1"/>
  <c r="Y99" i="1" s="1"/>
  <c r="Z99" i="1"/>
  <c r="X108" i="1"/>
  <c r="Y108" i="1" s="1"/>
  <c r="Z108" i="1"/>
  <c r="X140" i="1"/>
  <c r="Z140" i="1"/>
  <c r="M141" i="1"/>
  <c r="M118" i="1"/>
  <c r="M139" i="1"/>
  <c r="Y98" i="1" l="1"/>
  <c r="Y140" i="1"/>
  <c r="K140" i="1"/>
  <c r="M140" i="1"/>
  <c r="M67" i="1"/>
  <c r="K106" i="1"/>
  <c r="M106" i="1"/>
  <c r="U53" i="1" l="1"/>
  <c r="K129" i="1"/>
  <c r="M129" i="1"/>
  <c r="K86" i="1"/>
  <c r="L86" i="1"/>
  <c r="J85" i="1"/>
  <c r="M86" i="1" l="1"/>
  <c r="X86" i="1"/>
  <c r="Y86" i="1" s="1"/>
  <c r="Z86" i="1"/>
  <c r="L88" i="1"/>
  <c r="M108" i="1"/>
  <c r="K104" i="1"/>
  <c r="K103" i="1"/>
  <c r="K102" i="1"/>
  <c r="K101" i="1"/>
  <c r="K100" i="1"/>
  <c r="K99" i="1"/>
  <c r="K98" i="1"/>
  <c r="K94" i="1"/>
  <c r="K93" i="1"/>
  <c r="K92" i="1"/>
  <c r="L92" i="1"/>
  <c r="U145" i="1" l="1"/>
  <c r="U147" i="1" s="1"/>
  <c r="U149" i="1" s="1"/>
  <c r="U152" i="1" s="1"/>
  <c r="X88" i="1"/>
  <c r="Y88" i="1" s="1"/>
  <c r="Z88" i="1"/>
  <c r="Z92" i="1"/>
  <c r="X92" i="1"/>
  <c r="W53" i="1"/>
  <c r="M92" i="1"/>
  <c r="J33" i="1"/>
  <c r="J32" i="1"/>
  <c r="J31" i="1"/>
  <c r="J41" i="1"/>
  <c r="L41" i="1" s="1"/>
  <c r="J40" i="1"/>
  <c r="L40" i="1" s="1"/>
  <c r="J39" i="1"/>
  <c r="L39" i="1" s="1"/>
  <c r="K37" i="1"/>
  <c r="L38" i="1"/>
  <c r="L37" i="1"/>
  <c r="J9" i="1"/>
  <c r="L9" i="1" s="1"/>
  <c r="J19" i="1"/>
  <c r="L19" i="1" s="1"/>
  <c r="L17" i="1"/>
  <c r="L20" i="1"/>
  <c r="X20" i="1" s="1"/>
  <c r="Y20" i="1" s="1"/>
  <c r="L18" i="1"/>
  <c r="Y92" i="1" l="1"/>
  <c r="M37" i="1"/>
  <c r="X37" i="1"/>
  <c r="Z37" i="1"/>
  <c r="X18" i="1"/>
  <c r="Y18" i="1" s="1"/>
  <c r="Z18" i="1"/>
  <c r="X39" i="1"/>
  <c r="Y39" i="1" s="1"/>
  <c r="Z39" i="1"/>
  <c r="X40" i="1"/>
  <c r="Y40" i="1" s="1"/>
  <c r="Z40" i="1"/>
  <c r="X17" i="1"/>
  <c r="Z17" i="1"/>
  <c r="X41" i="1"/>
  <c r="Y41" i="1" s="1"/>
  <c r="Z41" i="1"/>
  <c r="X9" i="1"/>
  <c r="Z9" i="1"/>
  <c r="X38" i="1"/>
  <c r="Y38" i="1" s="1"/>
  <c r="Z38" i="1"/>
  <c r="X19" i="1"/>
  <c r="Y19" i="1" s="1"/>
  <c r="Z19" i="1"/>
  <c r="L21" i="1"/>
  <c r="K138" i="1"/>
  <c r="K137" i="1"/>
  <c r="K136" i="1"/>
  <c r="K135" i="1"/>
  <c r="K134" i="1"/>
  <c r="K132" i="1"/>
  <c r="K131" i="1"/>
  <c r="K130" i="1"/>
  <c r="K128" i="1"/>
  <c r="K127" i="1"/>
  <c r="K124" i="1"/>
  <c r="K123" i="1"/>
  <c r="K122" i="1"/>
  <c r="K121" i="1"/>
  <c r="K115" i="1"/>
  <c r="K114" i="1"/>
  <c r="Y9" i="1" l="1"/>
  <c r="X21" i="1"/>
  <c r="Y17" i="1"/>
  <c r="Y21" i="1" s="1"/>
  <c r="Y37" i="1"/>
  <c r="K90" i="1"/>
  <c r="L90" i="1"/>
  <c r="M90" i="1" l="1"/>
  <c r="X90" i="1"/>
  <c r="Y90" i="1" s="1"/>
  <c r="Z90" i="1"/>
  <c r="L29" i="1"/>
  <c r="X29" i="1" l="1"/>
  <c r="Z29" i="1"/>
  <c r="L13" i="1"/>
  <c r="L10" i="1"/>
  <c r="M20" i="1"/>
  <c r="L46" i="1"/>
  <c r="L47" i="1"/>
  <c r="L48" i="1"/>
  <c r="L52" i="1"/>
  <c r="X52" i="1" s="1"/>
  <c r="L57" i="1"/>
  <c r="J58" i="1"/>
  <c r="L58" i="1" s="1"/>
  <c r="X58" i="1" s="1"/>
  <c r="L59" i="1"/>
  <c r="L60" i="1"/>
  <c r="L61" i="1"/>
  <c r="L63" i="1"/>
  <c r="L64" i="1"/>
  <c r="L65" i="1"/>
  <c r="L66" i="1"/>
  <c r="L68" i="1"/>
  <c r="L69" i="1"/>
  <c r="L70" i="1"/>
  <c r="L71" i="1"/>
  <c r="X71" i="1" s="1"/>
  <c r="K11" i="1"/>
  <c r="M17" i="1"/>
  <c r="M18" i="1"/>
  <c r="M19" i="1"/>
  <c r="L24" i="1"/>
  <c r="L25" i="1"/>
  <c r="L30" i="1"/>
  <c r="L31" i="1"/>
  <c r="L32" i="1"/>
  <c r="L33" i="1"/>
  <c r="L34" i="1"/>
  <c r="L42" i="1"/>
  <c r="M38" i="1"/>
  <c r="K39" i="1"/>
  <c r="K40" i="1"/>
  <c r="K41" i="1"/>
  <c r="J49" i="1"/>
  <c r="K49" i="1" s="1"/>
  <c r="M29" i="1"/>
  <c r="K89" i="1"/>
  <c r="K88" i="1"/>
  <c r="K87" i="1"/>
  <c r="K85" i="1"/>
  <c r="K84" i="1"/>
  <c r="L127" i="1"/>
  <c r="L128" i="1"/>
  <c r="L130" i="1"/>
  <c r="L131" i="1"/>
  <c r="L132" i="1"/>
  <c r="L134" i="1"/>
  <c r="L135" i="1"/>
  <c r="L136" i="1"/>
  <c r="L137" i="1"/>
  <c r="L138" i="1"/>
  <c r="L120" i="1"/>
  <c r="L121" i="1"/>
  <c r="L122" i="1"/>
  <c r="L123" i="1"/>
  <c r="L124" i="1"/>
  <c r="L110" i="1"/>
  <c r="L111" i="1"/>
  <c r="L112" i="1"/>
  <c r="M99" i="1"/>
  <c r="L101" i="1"/>
  <c r="L102" i="1"/>
  <c r="M103" i="1"/>
  <c r="L114" i="1"/>
  <c r="L115" i="1"/>
  <c r="L80" i="1"/>
  <c r="L84" i="1"/>
  <c r="L85" i="1"/>
  <c r="L87" i="1"/>
  <c r="L89" i="1"/>
  <c r="L93" i="1"/>
  <c r="L94" i="1"/>
  <c r="L76" i="1"/>
  <c r="L77" i="1"/>
  <c r="L82" i="1"/>
  <c r="X82" i="1" s="1"/>
  <c r="Y82" i="1" s="1"/>
  <c r="L95" i="1"/>
  <c r="M95" i="1" s="1"/>
  <c r="M107" i="1"/>
  <c r="M146" i="1"/>
  <c r="K112" i="1"/>
  <c r="K111" i="1"/>
  <c r="K110" i="1"/>
  <c r="K108" i="1"/>
  <c r="K105" i="1"/>
  <c r="K81" i="1"/>
  <c r="K82" i="1"/>
  <c r="K80" i="1"/>
  <c r="K77" i="1"/>
  <c r="K76" i="1"/>
  <c r="K13" i="1"/>
  <c r="K71" i="1"/>
  <c r="K70" i="1"/>
  <c r="K69" i="1"/>
  <c r="K68" i="1"/>
  <c r="K67" i="1"/>
  <c r="K66" i="1"/>
  <c r="K65" i="1"/>
  <c r="K64" i="1"/>
  <c r="K63" i="1"/>
  <c r="K61" i="1"/>
  <c r="K60" i="1"/>
  <c r="K59" i="1"/>
  <c r="K57" i="1"/>
  <c r="K48" i="1"/>
  <c r="K47" i="1"/>
  <c r="K46" i="1"/>
  <c r="K52" i="1"/>
  <c r="K42" i="1"/>
  <c r="K34" i="1"/>
  <c r="K33" i="1"/>
  <c r="K32" i="1"/>
  <c r="K31" i="1"/>
  <c r="K30" i="1"/>
  <c r="K29" i="1"/>
  <c r="K25" i="1"/>
  <c r="K19" i="1"/>
  <c r="K18" i="1"/>
  <c r="K12" i="1"/>
  <c r="K10" i="1"/>
  <c r="L125" i="1"/>
  <c r="L97" i="1"/>
  <c r="K17" i="1"/>
  <c r="X84" i="1" l="1"/>
  <c r="Z84" i="1"/>
  <c r="M63" i="1"/>
  <c r="X63" i="1"/>
  <c r="Y63" i="1" s="1"/>
  <c r="Z63" i="1"/>
  <c r="M77" i="1"/>
  <c r="X77" i="1"/>
  <c r="Y77" i="1" s="1"/>
  <c r="Z77" i="1"/>
  <c r="X111" i="1"/>
  <c r="Y111" i="1" s="1"/>
  <c r="Z111" i="1"/>
  <c r="X127" i="1"/>
  <c r="Z127" i="1"/>
  <c r="X46" i="1"/>
  <c r="Z46" i="1"/>
  <c r="X110" i="1"/>
  <c r="L109" i="1"/>
  <c r="Z110" i="1"/>
  <c r="M70" i="1"/>
  <c r="X70" i="1"/>
  <c r="Y70" i="1" s="1"/>
  <c r="Z70" i="1"/>
  <c r="X135" i="1"/>
  <c r="Y135" i="1" s="1"/>
  <c r="Z135" i="1"/>
  <c r="M25" i="1"/>
  <c r="X25" i="1"/>
  <c r="Y25" i="1" s="1"/>
  <c r="Z25" i="1"/>
  <c r="X123" i="1"/>
  <c r="Y123" i="1" s="1"/>
  <c r="Z123" i="1"/>
  <c r="X24" i="1"/>
  <c r="Z24" i="1"/>
  <c r="X68" i="1"/>
  <c r="Y68" i="1" s="1"/>
  <c r="Z68" i="1"/>
  <c r="Y58" i="1"/>
  <c r="Z58" i="1"/>
  <c r="M13" i="1"/>
  <c r="X13" i="1"/>
  <c r="Y13" i="1" s="1"/>
  <c r="Z13" i="1"/>
  <c r="M112" i="1"/>
  <c r="X112" i="1"/>
  <c r="Y112" i="1" s="1"/>
  <c r="Z112" i="1"/>
  <c r="M47" i="1"/>
  <c r="X47" i="1"/>
  <c r="Y47" i="1" s="1"/>
  <c r="Z47" i="1"/>
  <c r="Z136" i="1"/>
  <c r="X136" i="1"/>
  <c r="Y136" i="1" s="1"/>
  <c r="X30" i="1"/>
  <c r="Y30" i="1" s="1"/>
  <c r="Z30" i="1"/>
  <c r="X94" i="1"/>
  <c r="Y94" i="1" s="1"/>
  <c r="Z94" i="1"/>
  <c r="M69" i="1"/>
  <c r="X69" i="1"/>
  <c r="Y69" i="1" s="1"/>
  <c r="Z69" i="1"/>
  <c r="M89" i="1"/>
  <c r="X89" i="1"/>
  <c r="Y89" i="1" s="1"/>
  <c r="Z89" i="1"/>
  <c r="X132" i="1"/>
  <c r="Y132" i="1" s="1"/>
  <c r="Z132" i="1"/>
  <c r="M42" i="1"/>
  <c r="X42" i="1"/>
  <c r="Z42" i="1"/>
  <c r="M66" i="1"/>
  <c r="X66" i="1"/>
  <c r="Y66" i="1" s="1"/>
  <c r="Z66" i="1"/>
  <c r="Z57" i="1"/>
  <c r="X57" i="1"/>
  <c r="X128" i="1"/>
  <c r="Y128" i="1" s="1"/>
  <c r="Z128" i="1"/>
  <c r="X137" i="1"/>
  <c r="Y137" i="1" s="1"/>
  <c r="Z137" i="1"/>
  <c r="M61" i="1"/>
  <c r="X61" i="1"/>
  <c r="Y61" i="1" s="1"/>
  <c r="Z61" i="1"/>
  <c r="X76" i="1"/>
  <c r="X74" i="1" s="1"/>
  <c r="Z76" i="1"/>
  <c r="M60" i="1"/>
  <c r="X60" i="1"/>
  <c r="Y60" i="1" s="1"/>
  <c r="Z60" i="1"/>
  <c r="X114" i="1"/>
  <c r="Z114" i="1"/>
  <c r="M59" i="1"/>
  <c r="X59" i="1"/>
  <c r="Y59" i="1" s="1"/>
  <c r="Z59" i="1"/>
  <c r="X122" i="1"/>
  <c r="Y122" i="1" s="1"/>
  <c r="Z122" i="1"/>
  <c r="M87" i="1"/>
  <c r="X87" i="1"/>
  <c r="Y87" i="1" s="1"/>
  <c r="Z87" i="1"/>
  <c r="X101" i="1"/>
  <c r="L100" i="1"/>
  <c r="Z101" i="1"/>
  <c r="X121" i="1"/>
  <c r="Y121" i="1" s="1"/>
  <c r="Z121" i="1"/>
  <c r="X131" i="1"/>
  <c r="Y131" i="1" s="1"/>
  <c r="Z131" i="1"/>
  <c r="M34" i="1"/>
  <c r="X34" i="1"/>
  <c r="Y34" i="1" s="1"/>
  <c r="Z34" i="1"/>
  <c r="M65" i="1"/>
  <c r="X65" i="1"/>
  <c r="Y65" i="1" s="1"/>
  <c r="Z65" i="1"/>
  <c r="Z52" i="1"/>
  <c r="X138" i="1"/>
  <c r="Y138" i="1" s="1"/>
  <c r="Z138" i="1"/>
  <c r="M32" i="1"/>
  <c r="X32" i="1"/>
  <c r="Y32" i="1" s="1"/>
  <c r="Z32" i="1"/>
  <c r="L78" i="1"/>
  <c r="Z78" i="1" s="1"/>
  <c r="Z80" i="1"/>
  <c r="X80" i="1"/>
  <c r="M31" i="1"/>
  <c r="X31" i="1"/>
  <c r="Y31" i="1" s="1"/>
  <c r="Z31" i="1"/>
  <c r="M71" i="1"/>
  <c r="Y71" i="1"/>
  <c r="Z71" i="1"/>
  <c r="M115" i="1"/>
  <c r="X115" i="1"/>
  <c r="Y115" i="1" s="1"/>
  <c r="Z115" i="1"/>
  <c r="X124" i="1"/>
  <c r="Y124" i="1" s="1"/>
  <c r="Z124" i="1"/>
  <c r="X10" i="1"/>
  <c r="Z10" i="1"/>
  <c r="X93" i="1"/>
  <c r="Z93" i="1"/>
  <c r="X134" i="1"/>
  <c r="Z134" i="1"/>
  <c r="X102" i="1"/>
  <c r="Y102" i="1" s="1"/>
  <c r="Z102" i="1"/>
  <c r="M85" i="1"/>
  <c r="X85" i="1"/>
  <c r="Y85" i="1" s="1"/>
  <c r="Z85" i="1"/>
  <c r="L119" i="1"/>
  <c r="Z119" i="1" s="1"/>
  <c r="X120" i="1"/>
  <c r="Z120" i="1"/>
  <c r="X130" i="1"/>
  <c r="Y130" i="1" s="1"/>
  <c r="Z130" i="1"/>
  <c r="M33" i="1"/>
  <c r="X33" i="1"/>
  <c r="Y33" i="1" s="1"/>
  <c r="Z33" i="1"/>
  <c r="M21" i="1"/>
  <c r="M64" i="1"/>
  <c r="X64" i="1"/>
  <c r="Y64" i="1" s="1"/>
  <c r="Z64" i="1"/>
  <c r="M48" i="1"/>
  <c r="X48" i="1"/>
  <c r="Y48" i="1" s="1"/>
  <c r="Z48" i="1"/>
  <c r="Y29" i="1"/>
  <c r="M81" i="1"/>
  <c r="Z81" i="1"/>
  <c r="M82" i="1"/>
  <c r="Z82" i="1"/>
  <c r="M52" i="1"/>
  <c r="L53" i="1"/>
  <c r="M53" i="1" s="1"/>
  <c r="L72" i="1"/>
  <c r="M24" i="1"/>
  <c r="M10" i="1"/>
  <c r="L133" i="1"/>
  <c r="M121" i="1"/>
  <c r="M131" i="1"/>
  <c r="XEO131" i="1" s="1"/>
  <c r="M123" i="1"/>
  <c r="M138" i="1"/>
  <c r="M128" i="1"/>
  <c r="M122" i="1"/>
  <c r="M136" i="1"/>
  <c r="M125" i="1"/>
  <c r="M124" i="1"/>
  <c r="M135" i="1"/>
  <c r="L91" i="1"/>
  <c r="Z91" i="1" s="1"/>
  <c r="L113" i="1"/>
  <c r="M102" i="1"/>
  <c r="L126" i="1"/>
  <c r="L74" i="1"/>
  <c r="L83" i="1"/>
  <c r="Z83" i="1" s="1"/>
  <c r="M57" i="1"/>
  <c r="M68" i="1"/>
  <c r="M111" i="1"/>
  <c r="M134" i="1"/>
  <c r="M132" i="1"/>
  <c r="K58" i="1"/>
  <c r="M94" i="1"/>
  <c r="M93" i="1"/>
  <c r="K9" i="1"/>
  <c r="M127" i="1"/>
  <c r="M120" i="1"/>
  <c r="M98" i="1"/>
  <c r="M101" i="1"/>
  <c r="M84" i="1"/>
  <c r="M80" i="1"/>
  <c r="M78" i="1" s="1"/>
  <c r="M40" i="1"/>
  <c r="M76" i="1"/>
  <c r="M88" i="1"/>
  <c r="L12" i="1"/>
  <c r="L26" i="1"/>
  <c r="L49" i="1"/>
  <c r="L11" i="1"/>
  <c r="M110" i="1"/>
  <c r="M130" i="1"/>
  <c r="M58" i="1"/>
  <c r="M137" i="1"/>
  <c r="M46" i="1"/>
  <c r="L35" i="1"/>
  <c r="M41" i="1"/>
  <c r="L43" i="1"/>
  <c r="K38" i="1"/>
  <c r="M39" i="1"/>
  <c r="M114" i="1"/>
  <c r="M105" i="1"/>
  <c r="M104" i="1" s="1"/>
  <c r="M30" i="1"/>
  <c r="Y101" i="1" l="1"/>
  <c r="Y100" i="1" s="1"/>
  <c r="X100" i="1"/>
  <c r="Z74" i="1"/>
  <c r="L96" i="1"/>
  <c r="Y134" i="1"/>
  <c r="Y133" i="1" s="1"/>
  <c r="X133" i="1"/>
  <c r="Y80" i="1"/>
  <c r="Y78" i="1" s="1"/>
  <c r="X78" i="1"/>
  <c r="Y114" i="1"/>
  <c r="Y113" i="1" s="1"/>
  <c r="X113" i="1"/>
  <c r="Y35" i="1"/>
  <c r="Y110" i="1"/>
  <c r="Y109" i="1" s="1"/>
  <c r="X109" i="1"/>
  <c r="X119" i="1"/>
  <c r="XEO132" i="1"/>
  <c r="X35" i="1"/>
  <c r="Y93" i="1"/>
  <c r="Y91" i="1" s="1"/>
  <c r="X91" i="1"/>
  <c r="Y127" i="1"/>
  <c r="Y126" i="1" s="1"/>
  <c r="X126" i="1"/>
  <c r="M43" i="1"/>
  <c r="M35" i="1"/>
  <c r="Y84" i="1"/>
  <c r="Y83" i="1" s="1"/>
  <c r="X83" i="1"/>
  <c r="M49" i="1"/>
  <c r="X49" i="1"/>
  <c r="Y49" i="1" s="1"/>
  <c r="Y46" i="1"/>
  <c r="Z113" i="1"/>
  <c r="M12" i="1"/>
  <c r="X12" i="1"/>
  <c r="Y12" i="1" s="1"/>
  <c r="Z12" i="1"/>
  <c r="X53" i="1"/>
  <c r="Y53" i="1" s="1"/>
  <c r="Y52" i="1"/>
  <c r="X26" i="1"/>
  <c r="Y24" i="1"/>
  <c r="Y26" i="1" s="1"/>
  <c r="M113" i="1"/>
  <c r="M72" i="1"/>
  <c r="Y10" i="1"/>
  <c r="Y42" i="1"/>
  <c r="Y43" i="1" s="1"/>
  <c r="Y44" i="1" s="1"/>
  <c r="X43" i="1"/>
  <c r="L116" i="1"/>
  <c r="Y120" i="1"/>
  <c r="Y119" i="1" s="1"/>
  <c r="M11" i="1"/>
  <c r="X11" i="1"/>
  <c r="Y11" i="1" s="1"/>
  <c r="Z11" i="1"/>
  <c r="M26" i="1"/>
  <c r="Y76" i="1"/>
  <c r="Y74" i="1" s="1"/>
  <c r="X72" i="1"/>
  <c r="Y57" i="1"/>
  <c r="Y72" i="1" s="1"/>
  <c r="L143" i="1"/>
  <c r="Z143" i="1" s="1"/>
  <c r="L14" i="1"/>
  <c r="L22" i="1" s="1"/>
  <c r="XEO128" i="1"/>
  <c r="M133" i="1"/>
  <c r="M119" i="1"/>
  <c r="M109" i="1"/>
  <c r="M100" i="1"/>
  <c r="M74" i="1"/>
  <c r="M91" i="1"/>
  <c r="M83" i="1"/>
  <c r="XEO127" i="1"/>
  <c r="XEO130" i="1"/>
  <c r="M126" i="1"/>
  <c r="M9" i="1"/>
  <c r="L50" i="1"/>
  <c r="M50" i="1"/>
  <c r="L44" i="1"/>
  <c r="Y50" i="1" l="1"/>
  <c r="X50" i="1"/>
  <c r="Y143" i="1"/>
  <c r="X96" i="1"/>
  <c r="X143" i="1"/>
  <c r="M14" i="1"/>
  <c r="M22" i="1" s="1"/>
  <c r="X44" i="1"/>
  <c r="Y96" i="1"/>
  <c r="X116" i="1"/>
  <c r="Y116" i="1"/>
  <c r="Y14" i="1"/>
  <c r="Y22" i="1" s="1"/>
  <c r="X14" i="1"/>
  <c r="X22" i="1" s="1"/>
  <c r="M96" i="1"/>
  <c r="M116" i="1"/>
  <c r="M143" i="1"/>
  <c r="M44" i="1"/>
  <c r="Y54" i="1" l="1"/>
  <c r="M54" i="1"/>
  <c r="Z144" i="1"/>
  <c r="X144" i="1"/>
  <c r="M144" i="1"/>
  <c r="X145" i="1" l="1"/>
  <c r="X147" i="1" s="1"/>
  <c r="Y145" i="1"/>
  <c r="Y147" i="1" s="1"/>
  <c r="L145" i="1"/>
  <c r="Z145" i="1" s="1"/>
  <c r="M145" i="1"/>
  <c r="M147" i="1" s="1"/>
  <c r="L147" i="1" l="1"/>
  <c r="L148" i="1" s="1"/>
  <c r="M148" i="1"/>
  <c r="M149" i="1" s="1"/>
  <c r="M152" i="1" s="1"/>
  <c r="X148" i="1" l="1"/>
  <c r="X149" i="1" s="1"/>
  <c r="X152" i="1" s="1"/>
  <c r="X156" i="1" s="1"/>
  <c r="L149" i="1"/>
  <c r="Y148" i="1" l="1"/>
  <c r="Y149" i="1" s="1"/>
  <c r="Y152" i="1" s="1"/>
  <c r="Z149" i="1"/>
  <c r="L152" i="1"/>
</calcChain>
</file>

<file path=xl/sharedStrings.xml><?xml version="1.0" encoding="utf-8"?>
<sst xmlns="http://schemas.openxmlformats.org/spreadsheetml/2006/main" count="707" uniqueCount="223">
  <si>
    <t xml:space="preserve"> </t>
  </si>
  <si>
    <t>1. Budget de l’action</t>
  </si>
  <si>
    <t>Coûts</t>
  </si>
  <si>
    <t>Unité</t>
  </si>
  <si>
    <t>Nº d'unités</t>
  </si>
  <si>
    <t>Valeur unitaire              (en EUR)</t>
  </si>
  <si>
    <t>Coût total                (en EUR)</t>
  </si>
  <si>
    <t>Coût total                (en FCFA)</t>
  </si>
  <si>
    <t>CARE</t>
  </si>
  <si>
    <t>1. Ressources humaines</t>
  </si>
  <si>
    <t>NIMD/IGD</t>
  </si>
  <si>
    <t>1.1 Salaires (montants bruts incluant les charges de sécurité sociale et les autres coûts liés, personnel local)</t>
  </si>
  <si>
    <t xml:space="preserve">   1.1.1 Coordonnateur du projet 50%</t>
  </si>
  <si>
    <t>Par mois</t>
  </si>
  <si>
    <t xml:space="preserve">   1.1.2 Chargé de projet 100%</t>
  </si>
  <si>
    <t xml:space="preserve">   1.1.3 Comptable projet 50%</t>
  </si>
  <si>
    <t>Par jour</t>
  </si>
  <si>
    <t>Total NIMD/IGD</t>
  </si>
  <si>
    <t>1.4 Salaires (montants bruts incluant les charges de sécurité sociale et les autres coûts liés, personnel local)</t>
  </si>
  <si>
    <t xml:space="preserve">   1.4.2 Chargé de projet 100%</t>
  </si>
  <si>
    <t xml:space="preserve">   1.4.3 Comptable projet 25%</t>
  </si>
  <si>
    <t xml:space="preserve">   1.4.4 Responsable suivi-évaluation du projet 20%</t>
  </si>
  <si>
    <t>Total CARE</t>
  </si>
  <si>
    <t>Sous-total Ressources humaines</t>
  </si>
  <si>
    <t>2.Location de véhicules</t>
  </si>
  <si>
    <t>2.2. CARE</t>
  </si>
  <si>
    <t>Sous-total Location de véhicules</t>
  </si>
  <si>
    <t>Par personne</t>
  </si>
  <si>
    <t>3.2 Matériel informatique (Imprimantes)</t>
  </si>
  <si>
    <t>Par structure</t>
  </si>
  <si>
    <t>3.3 Consommables - fournitures de bureau 50%</t>
  </si>
  <si>
    <t>3.4 Location de bureaux 50%</t>
  </si>
  <si>
    <t>3.5 Autres services (tél./fax, électricité/chauffage, maintenance) 50%</t>
  </si>
  <si>
    <t xml:space="preserve">  </t>
  </si>
  <si>
    <t>Par audit</t>
  </si>
  <si>
    <t xml:space="preserve">Par an </t>
  </si>
  <si>
    <t>Sous-total Autres coûts, services</t>
  </si>
  <si>
    <t>Total Fonctionnement</t>
  </si>
  <si>
    <t>Par atelier</t>
  </si>
  <si>
    <t>Par étude</t>
  </si>
  <si>
    <t>Par mission</t>
  </si>
  <si>
    <t>Par activité</t>
  </si>
  <si>
    <t>Sous-total Activités transversales</t>
  </si>
  <si>
    <t>A.1.1  Renforcement des capacités des femmes élues communales pour une mise en œuvre réussie de leurs missions et rôles (en fonction des besoins spécifiques)</t>
  </si>
  <si>
    <t>A.1.6 Elaboration d’un agenda de plaidoyer et d’apprentissage pour renforcer le leadership politique des femmes élues et les futures élues avec entre autres les actions :</t>
  </si>
  <si>
    <t>Sous-total Résultat 1</t>
  </si>
  <si>
    <t>Sous-total Résultat 2</t>
  </si>
  <si>
    <t>Sous-total Résultat 3</t>
  </si>
  <si>
    <t>Sous-total Activités</t>
  </si>
  <si>
    <t>7.  Sous-total des coûts directs éligibles de l'action (1 à 6)</t>
  </si>
  <si>
    <t xml:space="preserve">8. Provision pour imprévus (maximum 5 % de la ligne 7 Sous-total des coûts directs éligibles de l’action </t>
  </si>
  <si>
    <t xml:space="preserve">9. Total des coûts directs éligibles de l'action (7+8) </t>
  </si>
  <si>
    <t xml:space="preserve">10. Coûts indirects (maximum 7 % de la ligne 7 Sous-total des coûts directs éligibles de l’action) </t>
  </si>
  <si>
    <t>11. Total des coûts éligibles (9+10)</t>
  </si>
  <si>
    <t>12.  - Taxes</t>
  </si>
  <si>
    <t>12.  - Contributions en nature</t>
  </si>
  <si>
    <t>13. Total des coûts acceptés de l'action (11+12)</t>
  </si>
  <si>
    <t>%</t>
  </si>
  <si>
    <t xml:space="preserve">   1.1.4 Responsable suivi-évaluation du projet 20%</t>
  </si>
  <si>
    <t>3. Fournitures</t>
  </si>
  <si>
    <t>IGD</t>
  </si>
  <si>
    <t>Sous-total  Fournitures</t>
  </si>
  <si>
    <t>Par an</t>
  </si>
  <si>
    <t>Par équipement</t>
  </si>
  <si>
    <t>3.6 Contribution office maintenance</t>
  </si>
  <si>
    <t>3.8 Matériel informatique (Imprimantes)</t>
  </si>
  <si>
    <t>3.9 Consommables - fournitures de bureau 50%</t>
  </si>
  <si>
    <t>3.10 Location de bureaux 50%</t>
  </si>
  <si>
    <t>3.11 Autres services (tél./fax, électricité/chauffage, maintenance) 50%</t>
  </si>
  <si>
    <t>3.12 Contribution office maintenance</t>
  </si>
  <si>
    <t>Résultat 1 : Les femmes Maires, élues conseillères et députés réussissent leur mandat et ont été reconduites aux prochaines élections générales</t>
  </si>
  <si>
    <t xml:space="preserve">A.2.2 Sessions de réflexions sur les parcours de leadership et de bilan portfolio des femmes sélectionnées </t>
  </si>
  <si>
    <t xml:space="preserve">A.2.3 Pogramme de coaching et de mentorat au profit de nouvelles femmes leaders influentes et les jeunes activistes aspirantes pour renforcer leur confiance en soi, et améliorer leur militantisme au sein des partis politiques </t>
  </si>
  <si>
    <t>Résultat 3 : Les communes disposent à la fin du projet de femmes renforcées en leadership politique, dynamiques,  militantes dans les partis politiques et capables de faire évoluer les carrières politiques ou de devenir des dirigeantes performantes dans un environnement sans discriminations ni violences</t>
  </si>
  <si>
    <t xml:space="preserve">A.3.1 Rencontres d’échanges et appuis du projet à la redynamisation des anciens réseaux départementaux des jeunes filles et femmes leaders formés par d’autres programmes (RECAFEM, JLB, YALI, NIMD, etc.) élargi aux nouvelles femmes leaders influentes et jeunes activistes aspirantes à la fonction politique. </t>
  </si>
  <si>
    <t xml:space="preserve">A.0.4.1 Atelier de planification annuelle du projet </t>
  </si>
  <si>
    <t>A.0.4.2 Organisation de la réunion annuelle  du comité de pilotage</t>
  </si>
  <si>
    <t xml:space="preserve">A.0.4.3 Atelier de revue semestrielle du projet </t>
  </si>
  <si>
    <t xml:space="preserve">A.1.1.1 Formation des élues restants sur le code de l’administration territoriale </t>
  </si>
  <si>
    <t>Valeur unitaire              (en FCFA)</t>
  </si>
  <si>
    <t>A.1.2.1 Suivi post formation et appui du consultant aux élues conseillères (Maires, Adjointes aux Maires et CA) dans l'organisation des séances de reddition des comptes ou d'interactions avec les citoyens</t>
  </si>
  <si>
    <t xml:space="preserve">A.2.3.1 Identification/sélection de 53 coach-e-s </t>
  </si>
  <si>
    <t xml:space="preserve">A.2.3.2 Organisation d’une session de renforcement de capacités des coach-e-s sur les techniques de coaching </t>
  </si>
  <si>
    <t>A.2.3.3 Soutien à l’organisation des séances individuelles et collectives de coaching et de suivi des plans de développement  personnel des filleules</t>
  </si>
  <si>
    <t xml:space="preserve">   1.4.1 Directeur Pays/Assurance qualité 15%</t>
  </si>
  <si>
    <t>A.1.4  Organisation de dialogues réflectifs avec les leaders politiques (Commission parlementaire de loi, Responsables des partis politiques, etc.…) pour un bon positionnement des femmes candidates dans la perspective des prochaines élections communales(1dialogue*2sem*2ans)</t>
  </si>
  <si>
    <t xml:space="preserve">A.2.4.2 Mobiliser autour des enjeux de l’object du plaidoyer les réseaux de femmes élues (Réseau des Femmes, Elues Communales (REFEC), Union des Femmes Elues Communales (UFEC), Réseaux des participantes aux programmes de leadership (FENEP…) et les Organisations féminines de défense des droits des femmes </t>
  </si>
  <si>
    <t xml:space="preserve">A.1.2 Orientation des femmes élues Maires, Adjointes au Maires et Cheffe d'Arrondissement (CA) sur les outils de reddition des comptes (évaluation de la qualité des services publics) et appui dans la réalisation de quelques séances de reddition des comptes dans leurs localités </t>
  </si>
  <si>
    <t>A.3.3 Appui à la prise en compte du genre dans le fonctionnement des écoles des partis politiques : mise en place d’un Plan d’action Genre Equité et Diversité pour les partis politiques et orientation et coaching régulier des membres des bureaux des partis(1appui*15écoles*4semestres)</t>
  </si>
  <si>
    <t>Valeur unitaire (en Euro)</t>
  </si>
  <si>
    <t>NIMD</t>
  </si>
  <si>
    <t>4. Autres coûts, services</t>
  </si>
  <si>
    <t>4.1 Coûts d'audit/vérification des dépenses</t>
  </si>
  <si>
    <t>4.2 Coûts d'assurances couverture projet</t>
  </si>
  <si>
    <t>4.3 Services financiers (coûts de garantie bancaire, etc.)</t>
  </si>
  <si>
    <t>4.4 Actions de visibilité</t>
  </si>
  <si>
    <t xml:space="preserve">A.2.1 Recrutement d’une pépinière de 180 femmes de toutes catégories socio-professionnels influentes et jeunes femmes aspirantes à la vie politique </t>
  </si>
  <si>
    <t>5.1 Equipement support activités</t>
  </si>
  <si>
    <t>Sous-total Equipement support activités</t>
  </si>
  <si>
    <t>A.0 Activités transversales</t>
  </si>
  <si>
    <t>Allocation par Partnenaires</t>
  </si>
  <si>
    <t>Euro</t>
  </si>
  <si>
    <t>Total IGD</t>
  </si>
  <si>
    <t xml:space="preserve">A.3.2.1 Organiser une rencontre de réflexion sur la mise en place du cadre d’échanges entre les femmes renforcées aspirantes à la fonction politique issues des programmes leadership de CARE-IGD/NIMD </t>
  </si>
  <si>
    <t xml:space="preserve">A.3.2.2 Conduire une analyse sur les besoins en renforcement des anciennes promotions des programmes de leadership </t>
  </si>
  <si>
    <t>A.3.2.3 Appuyer le développement des différents instruments de fonctionnement de ce cadre (objectifs, types de plateformes, règles, la gouvernance, la configuration numérique…)</t>
  </si>
  <si>
    <t>A.1.3 Formation des responsables des partis politiques au niveau national et des représentants de leurs coordinations au niveau communal et départemental sur le genre, l’inclusion et la gouvernance  (5responsables nationaux/départementaux*15partis politiques*2sessions)</t>
  </si>
  <si>
    <t xml:space="preserve">A.2.4 Organisation d'un plaidoyer en vue d'une proposition de loi pour la discrimination positive à l'égard des femmes sur les listes de candidature aux élections municipales et communales  </t>
  </si>
  <si>
    <t xml:space="preserve">A.3.2.4 Organisation des rencontres virtuelles trimestrielles de partage, d’apprentissage et de panel de discussion </t>
  </si>
  <si>
    <t>Replanification consommations antérieures</t>
  </si>
  <si>
    <t>A.1.5 Initiatives Jeunes Assistant.e.s de Députées</t>
  </si>
  <si>
    <t xml:space="preserve">A.1.5.1 Sélection des jeunes Assistant.e.s  et organisation de séance d'échanges et d'orientation </t>
  </si>
  <si>
    <t>A.1.5.2 Acquisition de matériel informatique au profit des Assistant.e.s</t>
  </si>
  <si>
    <t>A.1.5.3 Renforcement de capacités des jeunes Assistant.e.s</t>
  </si>
  <si>
    <t>A.1.5.4 Elaboration du guide de l'assistant-e du député et de son cahier de charge.</t>
  </si>
  <si>
    <t>A.1.5.5 Mise en œuvre de l'initiative (Appui aux femmes députées par les jeunes Assistant.e.s)</t>
  </si>
  <si>
    <t xml:space="preserve">A.1.5.6 Evaluation de l'initiative à mi-parcours </t>
  </si>
  <si>
    <t>A.1.5.7 Mission de Supervision et de suivi des Assistant.e.s</t>
  </si>
  <si>
    <t xml:space="preserve">A.2.4.1 Fournir une assistance techinque spécialisée dans la conduite d'une trajectoire de plaidoyer-Lobbying. </t>
  </si>
  <si>
    <t xml:space="preserve">A.3.2.5 Appui à l’organisation d’un leadership camp  </t>
  </si>
  <si>
    <t>A.1.6 Renforcement de la visibilité des femmes élues par la mise en place et l’exécution d’un plan d’actions de communication et visibilité  avec des actions innovantes</t>
  </si>
  <si>
    <t>A.1.6.1 Renforcement de capacités des femmes élues conseillères en e-réputation, communication digitale sur (l’actualité de l’élue membre de l’exécutif communal, etc.) et assistance pour création page facebook</t>
  </si>
  <si>
    <t>A.1.6.2 Mise en place d’une fenêtre de visibilité des femmes élues Maires et conseillères sur la plateforme des partis politiques créée par NIMD (www.portailpartispolitiques.bj)</t>
  </si>
  <si>
    <t xml:space="preserve">A.2.4.3 Elaborer un agenda de plaidoyer participatif avec les organisations concernées et les acteurs des programmes similaires au Bénin  </t>
  </si>
  <si>
    <t>01.11.2021-30.06.2025 (42 mois)</t>
  </si>
  <si>
    <t>2.1 IGD</t>
  </si>
  <si>
    <t xml:space="preserve">Résultat 2 : La présence des femmes aux postes d’influences au niveau local a augmenté grâce à l’engagement des Partis Politiques pour la promotion du leadership des femmes </t>
  </si>
  <si>
    <t>A.2.5 Appui aux intiatives du Caucus des femmes parlementaires du Bénin au profit du leadership politique féminin</t>
  </si>
  <si>
    <t xml:space="preserve"> A.3.2 Faciliter la mise en place d’une plateforme d’échanges et d’apprentissage entre les jeunes femmes leaders aspirant à la fonction politique issues des divers programmes de leadership féminin.</t>
  </si>
  <si>
    <t>A3.4 : Ecole politique des femmes leaders : sélection dans toutes les communes des femmes militantes des partis ou femmes leaders devant suivre des sessions de formations pour le renforcement de leurs capacités et de leur leadership dans le militantisme politique</t>
  </si>
  <si>
    <t>A.3.4.2 Organisation des sessions de formation et des cafés politiques inter-sessions</t>
  </si>
  <si>
    <t xml:space="preserve">A.3.4.3 Dialogue et médiation avec les conjoints pour la masculinité positive en faveur du leadership des femmes en politique  </t>
  </si>
  <si>
    <t>A.3.4.4 Organisation des  cafés politiques ouverts</t>
  </si>
  <si>
    <t xml:space="preserve">A.3.4.5 Organisation de la visite des institutions </t>
  </si>
  <si>
    <t>A.3.4.6 Organisation de la cérémonie de sortie des bénéficiares</t>
  </si>
  <si>
    <t>A.3.4.1 Sélection des bénéficiaires des écoles</t>
  </si>
  <si>
    <t xml:space="preserve">A.3.5 Catalyst Initiative pour le développement d’une pépinière de femmes leaders ou influentes et des jeunes activistes aspirantes à la fonction politique </t>
  </si>
  <si>
    <t xml:space="preserve">A.3.5.1 Lancement de l'appel à participation: </t>
  </si>
  <si>
    <t xml:space="preserve">A.3.5.2 Etude des dossiers, entretien et sélection des bénéficiaires </t>
  </si>
  <si>
    <t>A.3.5.3 Sessions de réflexions sur les parcours de leadership des femmes sélectionnées</t>
  </si>
  <si>
    <t>A.3.5.4 Identification et formation des coachs</t>
  </si>
  <si>
    <t>A.3.5.5 Organisation des séances individuelles de coaching des femmes recrutées pour renforcer leur confiance en soi, et améliorer leur militantisme au sein des partis politiques.</t>
  </si>
  <si>
    <t>A3.6: Renforcement de capacités des femmes élues conseillères, des femmes alumnis de l’école politique féminine multipartite, de l'école de la démocratie et des membres de la pépinière candidates aux élections de Janvier 2026</t>
  </si>
  <si>
    <t xml:space="preserve">A.3.7 Communication pour un Changement de Comportement (CCC) visant la déconstruction des normes sociales de genre qui entravent le positionnement et l’émergence des femmes en politique </t>
  </si>
  <si>
    <t xml:space="preserve">A.1.1.2 Organisation d’une visite d’échanges d’expériences entre femmes Maires et ou élues locales du Bénin et de la sous-région (Sénégal, etc.) </t>
  </si>
  <si>
    <t xml:space="preserve">A.3.5.6 ancien A.2.3 Pogramme de coaching et de mentorat au profit de nouvelles femmes leaders influentes et les jeunes activistes aspirantes pour renforcer leur confiance en soi, et améliorer leur militantisme au sein des partis politiques </t>
  </si>
  <si>
    <t>A.0.2.1 Atelier d’appropriation des acteurs de mise en œuvre sur les outils/approches ainsi que les procédures à utiliser dans le cadre du projet</t>
  </si>
  <si>
    <t xml:space="preserve">A.0.2.2 Atelier d’appropriation de la mise à jour du PRLFP </t>
  </si>
  <si>
    <t>A.0.5 Mission de Suivi et de coordination des activités par NIMD et mission CARE or IGD staff dans le cadre de partenariat et training</t>
  </si>
  <si>
    <t>A.0.6.1 Evaluation externe 1 (Evaluation à mi-parcours du projet)</t>
  </si>
  <si>
    <t>A.0.6.2 Evaluation externe 2 (Evaluation finale  du projet)</t>
  </si>
  <si>
    <t>A.0.6.3 Capitalisation et gestion du savoir (y compris la communication et la visibilité)</t>
  </si>
  <si>
    <t>A.0.7  Actions de visibilité ( Supports de visibilité sur le projet (Kakemono ; dépliants ; Flyers ; T-shirt, casquettes, etc..)</t>
  </si>
  <si>
    <t>A.0.1.1 Atelier de lancement et de présentation du projet</t>
  </si>
  <si>
    <t>A.0.6 Activités d'évaluation et de capitalisation:</t>
  </si>
  <si>
    <t>A.0.4 Activités de suivi du projet ( Mise en place du Comité de suivi du projet et ateliers de planification et de revue semestrielles et annuelles ):</t>
  </si>
  <si>
    <t>A.0.3.1 Etude de référence</t>
  </si>
  <si>
    <t>A.0.3.2 Mise à jour des indicateurs de référence du projet</t>
  </si>
  <si>
    <t>01.11.2021-31.12.2026 (62 mois)</t>
  </si>
  <si>
    <t>3.1 Matériel informatique (Ordinateurs Coord, Chargé Projet, Comptable, Responsable suivi évaluation)</t>
  </si>
  <si>
    <t>3.7 Matériel informatique (Chargé Projet, Comptable)</t>
  </si>
  <si>
    <t>5.1.1 Photocopieur</t>
  </si>
  <si>
    <t xml:space="preserve">A.2.6 Accompagner les Partis Politiques à adopter et mettre en œuvre des mesures, stratégies et approches visant à promouvoir la présence, l’influence et l’accession des femmes à des responsabilités au sein de leur Parti Politique et dans les instances de décision </t>
  </si>
  <si>
    <t>A.2.6.1 Formation des formateurs de  l’équipe de projet sur l’outil GRIPP de NIMD</t>
  </si>
  <si>
    <t xml:space="preserve">A.2.6.2 Identification et renforcement  des femmes et hommes Points Focaux Genre-Diversité-Inclusion </t>
  </si>
  <si>
    <t xml:space="preserve">A.2.6.3 Organisation des rencontres de suivi annuel et de co-apprentissage avec les points focaux Genre des partis politiques : </t>
  </si>
  <si>
    <t xml:space="preserve">A.2.7 Appui à la prise en compte du genre dans le fonctionnement des écoles des partis politiques  (mise en place d’un Plan d’action Genre Equité et Diversité pour les partis politiques et accompagnement des membres des bureaux des partis pour l’atteinte des résultats </t>
  </si>
  <si>
    <t>A.2.7.1 Réalisation de l'état des lieux de la prise en compte du genre au sein des écoles de parti</t>
  </si>
  <si>
    <t xml:space="preserve">A.2.7.2 Facilitation de la réalisation par les partis politiques des analyses Genre au sein de leur organisation et élaboration d'un plan d’action par parti politique en faveur de l’égalité des sexes </t>
  </si>
  <si>
    <t>A.3.8 Appui à l'Institut National de la Femme</t>
  </si>
  <si>
    <t xml:space="preserve">   1.2.1 Responsable de programme/Assurance qualité siège 25%</t>
  </si>
  <si>
    <t>Budget including topping up until 31.12.2026</t>
  </si>
  <si>
    <t>01.01.2024-31.12.2024 (12 mois)</t>
  </si>
  <si>
    <t>BUDGET GLOBAL PRLFP</t>
  </si>
  <si>
    <t>BUDGET PRLFP 2024</t>
  </si>
  <si>
    <t>Dépenses approuvées 2022</t>
  </si>
  <si>
    <t>Dépenses approuvées 2023</t>
  </si>
  <si>
    <t>FCFA</t>
  </si>
  <si>
    <t>Dépenses 2024</t>
  </si>
  <si>
    <t>Dépenses cumulées à fin 2024</t>
  </si>
  <si>
    <t>Solde Budget 2024 au 31.12.2024</t>
  </si>
  <si>
    <t>Solde Budget  global au 31.12.2024</t>
  </si>
  <si>
    <t>% consommation 2024</t>
  </si>
  <si>
    <t>% Consommation globale</t>
  </si>
  <si>
    <t>Coût total  (en EUR)</t>
  </si>
  <si>
    <t>Coût total (en FCFA)</t>
  </si>
  <si>
    <t>Projet PRLFP Renforcement du leadership des femmes en politique dans les communes du Bénin: RAPPORT FINANCIER 2024</t>
  </si>
  <si>
    <t>Depenses cumulatives jusqu"à 31.12.2024</t>
  </si>
  <si>
    <t>Cumul des dépenses 2022 + 2023</t>
  </si>
  <si>
    <t>BUDGET 2024</t>
  </si>
  <si>
    <t>% Exécution 2024</t>
  </si>
  <si>
    <t>2. Location véhicules</t>
  </si>
  <si>
    <t>4. Autres coûts</t>
  </si>
  <si>
    <t>5. Equipements</t>
  </si>
  <si>
    <t>Activités transversales</t>
  </si>
  <si>
    <t>Total activités</t>
  </si>
  <si>
    <t xml:space="preserve">10. Coûts indirects (maximum 10 % de la ligne 7 Sous-total des coûts directs éligibles de l’action) </t>
  </si>
  <si>
    <t>TABLEAU DES RESSOURCES ET EMPLOIS AU 31/12/2024</t>
  </si>
  <si>
    <t>RUBRIQUES</t>
  </si>
  <si>
    <t>MONTANT</t>
  </si>
  <si>
    <t>EUROS</t>
  </si>
  <si>
    <t>SOLDE D'OUVERTURE AU 01/01/2024</t>
  </si>
  <si>
    <t>ENTTREES DE LA PERIODE</t>
  </si>
  <si>
    <t>VIREMENTS RECUS</t>
  </si>
  <si>
    <t>TOTAL RESSOURCE DISPONIBLE</t>
  </si>
  <si>
    <t>EMPLOIS DE LA PERIODE</t>
  </si>
  <si>
    <t>3. Équipement et fournitures</t>
  </si>
  <si>
    <t>Résultat 1 : Les femmes actuellement Maires et élues conseillères ont été reconduites aux prochaines élections municipales et communales et de nouvelles femmes ont été élues</t>
  </si>
  <si>
    <t>Résultat 2 : La présence des femmes aux postes d’influences au niveau local a augmenté</t>
  </si>
  <si>
    <t>Résultat 3 : Les communes disposent à la fin du projet d’assez de femmes renforcées en leadership politique, dynamiques et militantes dans les partis politiques</t>
  </si>
  <si>
    <t>SOLDE DISPONIBLE AU 31/12/2024</t>
  </si>
  <si>
    <t>SOLDE A LA BANQUE CORIS BANK BENIN</t>
  </si>
  <si>
    <t>SOLDE EN CAISSE</t>
  </si>
  <si>
    <t xml:space="preserve">AVANCE ACTIVITES </t>
  </si>
  <si>
    <t xml:space="preserve">PREFINACEMENT </t>
  </si>
  <si>
    <t>AIB A REGULARISER</t>
  </si>
  <si>
    <t>CNSS A REGULARISER</t>
  </si>
  <si>
    <t>SOLDE JUSTIFIABLE  / IGD</t>
  </si>
  <si>
    <t>SOLDE JUSTIFIABLE  / CARE</t>
  </si>
  <si>
    <t>SOLDE JUSTIFIABLE  / NIMD</t>
  </si>
  <si>
    <t>RESPONSABLE ADMINISTRATIF                                              DIRECTEUR EXECUTIF</t>
  </si>
  <si>
    <t xml:space="preserve">               ET FINANCIER</t>
  </si>
  <si>
    <r>
      <t xml:space="preserve">            </t>
    </r>
    <r>
      <rPr>
        <b/>
        <u/>
        <sz val="12"/>
        <color theme="1"/>
        <rFont val="Book Antiqua"/>
        <family val="1"/>
      </rPr>
      <t>M. Djamal FOUSSENI</t>
    </r>
    <r>
      <rPr>
        <b/>
        <sz val="12"/>
        <color theme="1"/>
        <rFont val="Book Antiqua"/>
        <family val="1"/>
      </rPr>
      <t xml:space="preserve">                                                       </t>
    </r>
    <r>
      <rPr>
        <b/>
        <u/>
        <sz val="12"/>
        <color theme="1"/>
        <rFont val="Book Antiqua"/>
        <family val="1"/>
      </rPr>
      <t>M. Azizou CHABI IMOROU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</si>
</sst>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_-;\-* #,##0.0_-;_-* &quot;-&quot;_-;_-@_-"/>
    <numFmt numFmtId="165" formatCode="_-* #,##0.000_-;\-* #,##0.000_-;_-* &quot;-&quot;_-;_-@_-"/>
    <numFmt numFmtId="166" formatCode="_ * #,##0_ ;_ * \-#,##0_ ;_ * &quot;-&quot;_ ;_ @_ "/>
    <numFmt numFmtId="167" formatCode="_-* #,##0.00\ _€_-;\-* #,##0.00\ _€_-;_-* &quot;-&quot;??\ _€_-;_-@_-"/>
    <numFmt numFmtId="168" formatCode="_-* #,##0\ _€_-;\-* #,##0\ _€_-;_-* &quot;-&quot;??\ _€_-;_-@_-"/>
  </numFmts>
  <fonts count="20" x14ac:knownFonts="1">
    <font>
      <sz val="11"/>
      <color theme="1"/>
      <name val="Calibri"/>
      <family val="2"/>
      <scheme val="minor"/>
    </font>
    <font>
      <sz val="11"/>
      <color theme="1"/>
      <name val="Calibri"/>
      <family val="2"/>
      <scheme val="minor"/>
    </font>
    <font>
      <b/>
      <sz val="10"/>
      <name val="Calibri"/>
      <family val="2"/>
      <scheme val="minor"/>
    </font>
    <font>
      <b/>
      <i/>
      <sz val="10"/>
      <name val="Calibri"/>
      <family val="2"/>
      <scheme val="minor"/>
    </font>
    <font>
      <sz val="10"/>
      <name val="Calibri"/>
      <family val="2"/>
      <scheme val="minor"/>
    </font>
    <font>
      <i/>
      <sz val="10"/>
      <name val="Calibri"/>
      <family val="2"/>
      <scheme val="minor"/>
    </font>
    <font>
      <b/>
      <sz val="11"/>
      <name val="Calibri Light"/>
      <family val="2"/>
      <scheme val="major"/>
    </font>
    <font>
      <b/>
      <sz val="10"/>
      <name val="Calibri Light"/>
      <family val="2"/>
      <scheme val="major"/>
    </font>
    <font>
      <sz val="10"/>
      <color rgb="FFFF0000"/>
      <name val="Calibri"/>
      <family val="2"/>
      <scheme val="minor"/>
    </font>
    <font>
      <b/>
      <sz val="14"/>
      <name val="Calibri"/>
      <family val="2"/>
      <scheme val="minor"/>
    </font>
    <font>
      <b/>
      <sz val="12"/>
      <name val="Calibri"/>
      <family val="2"/>
      <scheme val="minor"/>
    </font>
    <font>
      <b/>
      <sz val="11"/>
      <color theme="1"/>
      <name val="Calibri"/>
      <family val="2"/>
      <scheme val="minor"/>
    </font>
    <font>
      <sz val="10"/>
      <name val="Calibri Light"/>
      <family val="2"/>
      <scheme val="major"/>
    </font>
    <font>
      <b/>
      <sz val="18"/>
      <name val="Calibri Light"/>
      <family val="2"/>
      <scheme val="major"/>
    </font>
    <font>
      <b/>
      <sz val="12"/>
      <color theme="1"/>
      <name val="Book Antiqua"/>
      <family val="1"/>
    </font>
    <font>
      <sz val="12"/>
      <color theme="1"/>
      <name val="Book Antiqua"/>
      <family val="1"/>
    </font>
    <font>
      <i/>
      <sz val="12"/>
      <color theme="1"/>
      <name val="Book Antiqua"/>
      <family val="1"/>
    </font>
    <font>
      <b/>
      <sz val="12"/>
      <color rgb="FF000000"/>
      <name val="Book Antiqua"/>
      <family val="1"/>
    </font>
    <font>
      <sz val="12"/>
      <color rgb="FF000000"/>
      <name val="Book Antiqua"/>
      <family val="1"/>
    </font>
    <font>
      <b/>
      <u/>
      <sz val="12"/>
      <color theme="1"/>
      <name val="Book Antiqua"/>
      <family val="1"/>
    </font>
  </fonts>
  <fills count="1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
      <patternFill patternType="solid">
        <fgColor rgb="FFFF6D6D"/>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00B05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s>
  <cellStyleXfs count="5">
    <xf numFmtId="0" fontId="0" fillId="0" borderId="0"/>
    <xf numFmtId="41"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167" fontId="1" fillId="0" borderId="0" applyFont="0" applyFill="0" applyBorder="0" applyAlignment="0" applyProtection="0"/>
  </cellStyleXfs>
  <cellXfs count="211">
    <xf numFmtId="0" fontId="0" fillId="0" borderId="0" xfId="0"/>
    <xf numFmtId="41" fontId="4" fillId="0" borderId="0" xfId="1" applyFont="1" applyAlignment="1">
      <alignment vertical="center"/>
    </xf>
    <xf numFmtId="41" fontId="4" fillId="0" borderId="0" xfId="1" applyFont="1" applyBorder="1" applyAlignment="1">
      <alignment horizontal="left" vertical="center"/>
    </xf>
    <xf numFmtId="41" fontId="2" fillId="0" borderId="1" xfId="1" applyFont="1" applyBorder="1" applyAlignment="1">
      <alignment vertical="center"/>
    </xf>
    <xf numFmtId="41" fontId="4" fillId="0" borderId="0" xfId="1" applyFont="1" applyAlignment="1">
      <alignment horizontal="left" vertical="center"/>
    </xf>
    <xf numFmtId="41" fontId="2" fillId="0" borderId="0" xfId="1" applyFont="1" applyBorder="1" applyAlignment="1">
      <alignment horizontal="left" vertical="center"/>
    </xf>
    <xf numFmtId="41" fontId="5" fillId="0" borderId="0" xfId="1" applyFont="1" applyAlignment="1">
      <alignment vertical="center"/>
    </xf>
    <xf numFmtId="41" fontId="4" fillId="0" borderId="0" xfId="1" applyFont="1" applyBorder="1" applyAlignment="1">
      <alignment vertical="center"/>
    </xf>
    <xf numFmtId="41" fontId="3" fillId="2" borderId="1" xfId="1" applyFont="1" applyFill="1" applyBorder="1" applyAlignment="1">
      <alignment horizontal="center" vertical="center"/>
    </xf>
    <xf numFmtId="41" fontId="2" fillId="2" borderId="1" xfId="1" applyFont="1" applyFill="1" applyBorder="1" applyAlignment="1">
      <alignment horizontal="center" vertical="center"/>
    </xf>
    <xf numFmtId="41" fontId="4" fillId="6" borderId="1" xfId="1" applyFont="1" applyFill="1" applyBorder="1" applyAlignment="1">
      <alignment horizontal="center" vertical="center"/>
    </xf>
    <xf numFmtId="41" fontId="2" fillId="0" borderId="1" xfId="1" applyFont="1" applyBorder="1" applyAlignment="1">
      <alignment vertical="center" wrapText="1"/>
    </xf>
    <xf numFmtId="41" fontId="3" fillId="0" borderId="1" xfId="1" applyFont="1" applyBorder="1" applyAlignment="1">
      <alignment horizontal="center" vertical="center"/>
    </xf>
    <xf numFmtId="41" fontId="2" fillId="3" borderId="1" xfId="1" applyFont="1" applyFill="1" applyBorder="1" applyAlignment="1">
      <alignment vertical="center"/>
    </xf>
    <xf numFmtId="41" fontId="2" fillId="3" borderId="1" xfId="1" applyFont="1" applyFill="1" applyBorder="1" applyAlignment="1">
      <alignment horizontal="center" vertical="center"/>
    </xf>
    <xf numFmtId="41" fontId="5" fillId="0" borderId="1" xfId="1" applyFont="1" applyBorder="1" applyAlignment="1">
      <alignment horizontal="center" vertical="center"/>
    </xf>
    <xf numFmtId="41" fontId="4" fillId="3" borderId="1" xfId="1" applyFont="1" applyFill="1" applyBorder="1" applyAlignment="1">
      <alignment vertical="center"/>
    </xf>
    <xf numFmtId="41" fontId="4" fillId="6" borderId="1" xfId="1" applyFont="1" applyFill="1" applyBorder="1" applyAlignment="1">
      <alignment vertical="center"/>
    </xf>
    <xf numFmtId="41" fontId="2" fillId="2" borderId="1" xfId="1" applyFont="1" applyFill="1" applyBorder="1" applyAlignment="1">
      <alignment vertical="center"/>
    </xf>
    <xf numFmtId="41" fontId="2" fillId="4" borderId="1" xfId="1" applyFont="1" applyFill="1" applyBorder="1" applyAlignment="1">
      <alignment vertical="center"/>
    </xf>
    <xf numFmtId="41" fontId="3" fillId="6" borderId="1" xfId="1" applyFont="1" applyFill="1" applyBorder="1" applyAlignment="1">
      <alignment vertical="center" wrapText="1"/>
    </xf>
    <xf numFmtId="41" fontId="2" fillId="6" borderId="1" xfId="1" applyFont="1" applyFill="1" applyBorder="1" applyAlignment="1">
      <alignment vertical="center"/>
    </xf>
    <xf numFmtId="41" fontId="3" fillId="5" borderId="1" xfId="1" applyFont="1" applyFill="1" applyBorder="1" applyAlignment="1">
      <alignment vertical="center" wrapText="1"/>
    </xf>
    <xf numFmtId="41" fontId="4" fillId="5" borderId="1" xfId="1" applyFont="1" applyFill="1" applyBorder="1" applyAlignment="1">
      <alignment vertical="center"/>
    </xf>
    <xf numFmtId="41" fontId="2" fillId="5" borderId="1" xfId="1" applyFont="1" applyFill="1" applyBorder="1" applyAlignment="1">
      <alignment vertical="center"/>
    </xf>
    <xf numFmtId="41" fontId="5" fillId="0" borderId="1" xfId="1" applyFont="1" applyBorder="1" applyAlignment="1">
      <alignment vertical="center"/>
    </xf>
    <xf numFmtId="41" fontId="5" fillId="7" borderId="1" xfId="1" applyFont="1" applyFill="1" applyBorder="1" applyAlignment="1">
      <alignment horizontal="center" vertical="center"/>
    </xf>
    <xf numFmtId="41" fontId="4" fillId="7" borderId="1" xfId="1" applyFont="1" applyFill="1" applyBorder="1" applyAlignment="1">
      <alignment vertical="center"/>
    </xf>
    <xf numFmtId="41" fontId="4" fillId="7" borderId="0" xfId="1" applyFont="1" applyFill="1" applyAlignment="1">
      <alignment vertical="center"/>
    </xf>
    <xf numFmtId="41" fontId="3" fillId="7" borderId="1" xfId="1" applyFont="1" applyFill="1" applyBorder="1" applyAlignment="1">
      <alignment horizontal="center" vertical="center"/>
    </xf>
    <xf numFmtId="41" fontId="2" fillId="7" borderId="1" xfId="1" applyFont="1" applyFill="1" applyBorder="1" applyAlignment="1">
      <alignment vertical="center"/>
    </xf>
    <xf numFmtId="41" fontId="2" fillId="7" borderId="0" xfId="1" applyFont="1" applyFill="1" applyAlignment="1">
      <alignment vertical="center"/>
    </xf>
    <xf numFmtId="41" fontId="3" fillId="7" borderId="1" xfId="1" applyFont="1" applyFill="1" applyBorder="1" applyAlignment="1">
      <alignment vertical="center"/>
    </xf>
    <xf numFmtId="41" fontId="5" fillId="7" borderId="1" xfId="1" applyFont="1" applyFill="1" applyBorder="1" applyAlignment="1">
      <alignment horizontal="right" vertical="center"/>
    </xf>
    <xf numFmtId="41" fontId="5" fillId="7" borderId="1" xfId="1" applyFont="1" applyFill="1" applyBorder="1" applyAlignment="1">
      <alignment vertical="center"/>
    </xf>
    <xf numFmtId="41" fontId="3" fillId="7" borderId="0" xfId="1" applyFont="1" applyFill="1" applyAlignment="1">
      <alignment vertical="center"/>
    </xf>
    <xf numFmtId="41" fontId="5" fillId="7" borderId="0" xfId="1" applyFont="1" applyFill="1" applyAlignment="1">
      <alignment vertical="center"/>
    </xf>
    <xf numFmtId="41" fontId="5" fillId="7" borderId="0" xfId="1" applyFont="1" applyFill="1" applyAlignment="1">
      <alignment horizontal="right" vertical="center"/>
    </xf>
    <xf numFmtId="41" fontId="5" fillId="3" borderId="1" xfId="1" applyFont="1" applyFill="1" applyBorder="1" applyAlignment="1">
      <alignment vertical="center"/>
    </xf>
    <xf numFmtId="41" fontId="3" fillId="8" borderId="1" xfId="1" applyFont="1" applyFill="1" applyBorder="1" applyAlignment="1">
      <alignment horizontal="center" vertical="center"/>
    </xf>
    <xf numFmtId="41" fontId="3" fillId="8" borderId="1" xfId="1" applyFont="1" applyFill="1" applyBorder="1" applyAlignment="1">
      <alignment vertical="center"/>
    </xf>
    <xf numFmtId="41" fontId="2" fillId="8" borderId="1" xfId="1" applyFont="1" applyFill="1" applyBorder="1" applyAlignment="1">
      <alignment vertical="center"/>
    </xf>
    <xf numFmtId="164" fontId="4" fillId="3" borderId="1" xfId="1" applyNumberFormat="1" applyFont="1" applyFill="1" applyBorder="1" applyAlignment="1">
      <alignment vertical="center"/>
    </xf>
    <xf numFmtId="9" fontId="4" fillId="3" borderId="1" xfId="2" applyFont="1" applyFill="1" applyBorder="1" applyAlignment="1">
      <alignment vertical="center"/>
    </xf>
    <xf numFmtId="9" fontId="4" fillId="0" borderId="0" xfId="2" applyFont="1" applyAlignment="1">
      <alignment horizontal="left" vertical="center"/>
    </xf>
    <xf numFmtId="9" fontId="4" fillId="0" borderId="0" xfId="2" applyFont="1" applyAlignment="1">
      <alignment vertical="center"/>
    </xf>
    <xf numFmtId="9" fontId="2" fillId="3" borderId="1" xfId="2" applyFont="1" applyFill="1" applyBorder="1" applyAlignment="1">
      <alignment vertical="center"/>
    </xf>
    <xf numFmtId="9" fontId="2" fillId="2" borderId="1" xfId="2" applyFont="1" applyFill="1" applyBorder="1" applyAlignment="1">
      <alignment vertical="center"/>
    </xf>
    <xf numFmtId="9" fontId="2" fillId="5" borderId="1" xfId="2" applyFont="1" applyFill="1" applyBorder="1" applyAlignment="1">
      <alignment vertical="center"/>
    </xf>
    <xf numFmtId="9" fontId="4" fillId="0" borderId="1" xfId="2" applyFont="1" applyBorder="1" applyAlignment="1">
      <alignment vertical="center"/>
    </xf>
    <xf numFmtId="9" fontId="2" fillId="7" borderId="1" xfId="2" applyFont="1" applyFill="1" applyBorder="1" applyAlignment="1">
      <alignment vertical="center"/>
    </xf>
    <xf numFmtId="9" fontId="2" fillId="8" borderId="1" xfId="2" applyFont="1" applyFill="1" applyBorder="1" applyAlignment="1">
      <alignment vertical="center"/>
    </xf>
    <xf numFmtId="0" fontId="4" fillId="3" borderId="1" xfId="2" applyNumberFormat="1" applyFont="1" applyFill="1" applyBorder="1" applyAlignment="1">
      <alignment vertical="center"/>
    </xf>
    <xf numFmtId="41" fontId="3" fillId="2" borderId="1" xfId="1" applyFont="1" applyFill="1" applyBorder="1" applyAlignment="1">
      <alignment vertical="center" wrapText="1"/>
    </xf>
    <xf numFmtId="41" fontId="4" fillId="0" borderId="1" xfId="1" applyFont="1" applyBorder="1" applyAlignment="1">
      <alignment vertical="center"/>
    </xf>
    <xf numFmtId="41" fontId="2" fillId="2" borderId="1" xfId="1" applyFont="1" applyFill="1" applyBorder="1" applyAlignment="1">
      <alignment horizontal="center" vertical="center" wrapText="1"/>
    </xf>
    <xf numFmtId="41" fontId="2" fillId="0" borderId="0" xfId="1" applyFont="1" applyAlignment="1">
      <alignment horizontal="left" vertical="center"/>
    </xf>
    <xf numFmtId="41" fontId="8" fillId="7" borderId="1" xfId="1" applyFont="1" applyFill="1" applyBorder="1" applyAlignment="1">
      <alignment vertical="center"/>
    </xf>
    <xf numFmtId="0" fontId="2" fillId="7" borderId="1" xfId="1" applyNumberFormat="1" applyFont="1" applyFill="1" applyBorder="1" applyAlignment="1">
      <alignment horizontal="left" vertical="center" wrapText="1"/>
    </xf>
    <xf numFmtId="0" fontId="4" fillId="0" borderId="0" xfId="1" applyNumberFormat="1" applyFont="1" applyAlignment="1">
      <alignment horizontal="left" vertical="center"/>
    </xf>
    <xf numFmtId="0" fontId="4" fillId="0" borderId="0" xfId="1" applyNumberFormat="1" applyFont="1" applyAlignment="1">
      <alignment vertical="center"/>
    </xf>
    <xf numFmtId="0" fontId="2" fillId="0" borderId="1" xfId="1" applyNumberFormat="1" applyFont="1" applyBorder="1" applyAlignment="1">
      <alignment horizontal="left" vertical="center" wrapText="1"/>
    </xf>
    <xf numFmtId="0" fontId="2" fillId="2" borderId="1" xfId="1" applyNumberFormat="1" applyFont="1" applyFill="1" applyBorder="1" applyAlignment="1">
      <alignment horizontal="center" vertical="center" wrapText="1"/>
    </xf>
    <xf numFmtId="0" fontId="2" fillId="0" borderId="1" xfId="1" applyNumberFormat="1" applyFont="1" applyBorder="1" applyAlignment="1">
      <alignment vertical="center" wrapText="1"/>
    </xf>
    <xf numFmtId="0" fontId="4" fillId="0" borderId="1" xfId="1" applyNumberFormat="1" applyFont="1" applyBorder="1" applyAlignment="1">
      <alignment vertical="center" wrapText="1"/>
    </xf>
    <xf numFmtId="0" fontId="3" fillId="2" borderId="1" xfId="1" applyNumberFormat="1" applyFont="1" applyFill="1" applyBorder="1" applyAlignment="1">
      <alignment vertical="center" wrapText="1"/>
    </xf>
    <xf numFmtId="0" fontId="4" fillId="0" borderId="1" xfId="1" applyNumberFormat="1" applyFont="1" applyBorder="1" applyAlignment="1">
      <alignment vertical="center"/>
    </xf>
    <xf numFmtId="0" fontId="3" fillId="5" borderId="1" xfId="1" applyNumberFormat="1" applyFont="1" applyFill="1" applyBorder="1" applyAlignment="1">
      <alignment vertical="center" wrapText="1"/>
    </xf>
    <xf numFmtId="0" fontId="4" fillId="0" borderId="1" xfId="1" applyNumberFormat="1" applyFont="1" applyBorder="1" applyAlignment="1">
      <alignment horizontal="left" vertical="center" wrapText="1"/>
    </xf>
    <xf numFmtId="0" fontId="4" fillId="7" borderId="1" xfId="1" applyNumberFormat="1" applyFont="1" applyFill="1" applyBorder="1" applyAlignment="1">
      <alignment horizontal="left" vertical="center" wrapText="1"/>
    </xf>
    <xf numFmtId="0" fontId="3" fillId="2" borderId="1" xfId="1" applyNumberFormat="1" applyFont="1" applyFill="1" applyBorder="1" applyAlignment="1">
      <alignment horizontal="left" vertical="center" wrapText="1"/>
    </xf>
    <xf numFmtId="0" fontId="5" fillId="7" borderId="1" xfId="1" applyNumberFormat="1" applyFont="1" applyFill="1" applyBorder="1" applyAlignment="1">
      <alignment horizontal="left" vertical="center" wrapText="1"/>
    </xf>
    <xf numFmtId="0" fontId="5" fillId="0" borderId="1" xfId="1" applyNumberFormat="1" applyFont="1" applyBorder="1" applyAlignment="1">
      <alignment horizontal="left" vertical="center" wrapText="1"/>
    </xf>
    <xf numFmtId="0" fontId="2" fillId="7" borderId="1" xfId="1" applyNumberFormat="1" applyFont="1" applyFill="1" applyBorder="1" applyAlignment="1">
      <alignment vertical="center" wrapText="1"/>
    </xf>
    <xf numFmtId="0" fontId="2" fillId="5" borderId="1" xfId="1" applyNumberFormat="1" applyFont="1" applyFill="1" applyBorder="1" applyAlignment="1">
      <alignment vertical="center" wrapText="1"/>
    </xf>
    <xf numFmtId="0" fontId="4" fillId="7" borderId="1" xfId="1" applyNumberFormat="1" applyFont="1" applyFill="1" applyBorder="1" applyAlignment="1">
      <alignment vertical="center" wrapText="1"/>
    </xf>
    <xf numFmtId="0" fontId="2" fillId="8" borderId="1" xfId="1" applyNumberFormat="1" applyFont="1" applyFill="1" applyBorder="1" applyAlignment="1">
      <alignment vertical="center" wrapText="1"/>
    </xf>
    <xf numFmtId="41" fontId="2" fillId="0" borderId="0" xfId="1" applyFont="1" applyAlignment="1">
      <alignment vertical="center"/>
    </xf>
    <xf numFmtId="0" fontId="9" fillId="0" borderId="0" xfId="1" applyNumberFormat="1" applyFont="1" applyAlignment="1">
      <alignment vertical="center"/>
    </xf>
    <xf numFmtId="0" fontId="10" fillId="0" borderId="0" xfId="1" applyNumberFormat="1" applyFont="1" applyAlignment="1">
      <alignment vertical="center"/>
    </xf>
    <xf numFmtId="165" fontId="5" fillId="0" borderId="1" xfId="1" applyNumberFormat="1" applyFont="1" applyBorder="1" applyAlignment="1">
      <alignment vertical="center"/>
    </xf>
    <xf numFmtId="41" fontId="7" fillId="2" borderId="1" xfId="1" applyFont="1" applyFill="1" applyBorder="1" applyAlignment="1">
      <alignment horizontal="center" vertical="center" wrapText="1"/>
    </xf>
    <xf numFmtId="0" fontId="3" fillId="0" borderId="1" xfId="1" applyNumberFormat="1" applyFont="1" applyFill="1" applyBorder="1" applyAlignment="1">
      <alignment vertical="center" wrapText="1"/>
    </xf>
    <xf numFmtId="41" fontId="3" fillId="0" borderId="1" xfId="1" applyFont="1" applyFill="1" applyBorder="1" applyAlignment="1">
      <alignment vertical="center" wrapText="1"/>
    </xf>
    <xf numFmtId="41" fontId="4" fillId="0" borderId="1" xfId="1" applyFont="1" applyFill="1" applyBorder="1" applyAlignment="1">
      <alignment vertical="center"/>
    </xf>
    <xf numFmtId="41" fontId="2" fillId="0" borderId="1" xfId="1" applyFont="1" applyFill="1" applyBorder="1" applyAlignment="1">
      <alignment vertical="center"/>
    </xf>
    <xf numFmtId="9" fontId="2" fillId="0" borderId="1" xfId="2" applyFont="1" applyFill="1" applyBorder="1" applyAlignment="1">
      <alignment vertical="center"/>
    </xf>
    <xf numFmtId="41" fontId="4" fillId="0" borderId="0" xfId="1" applyFont="1" applyFill="1" applyAlignment="1">
      <alignment vertical="center"/>
    </xf>
    <xf numFmtId="9" fontId="4" fillId="0" borderId="1" xfId="2" applyFont="1" applyFill="1" applyBorder="1" applyAlignment="1">
      <alignment vertical="center"/>
    </xf>
    <xf numFmtId="41" fontId="2" fillId="2" borderId="1" xfId="1" applyFont="1" applyFill="1" applyBorder="1" applyAlignment="1">
      <alignment horizontal="center" vertical="center" wrapText="1"/>
    </xf>
    <xf numFmtId="41" fontId="3" fillId="2" borderId="1" xfId="1" applyFont="1" applyFill="1" applyBorder="1" applyAlignment="1">
      <alignment vertical="center" wrapText="1"/>
    </xf>
    <xf numFmtId="41" fontId="4" fillId="0" borderId="1" xfId="1" applyFont="1" applyBorder="1" applyAlignment="1">
      <alignment vertical="center"/>
    </xf>
    <xf numFmtId="41" fontId="3" fillId="7" borderId="1" xfId="1" applyFont="1" applyFill="1" applyBorder="1" applyAlignment="1">
      <alignment horizontal="center" vertical="center"/>
    </xf>
    <xf numFmtId="41" fontId="2" fillId="2" borderId="1" xfId="1" applyFont="1" applyFill="1" applyBorder="1" applyAlignment="1">
      <alignment horizontal="center" vertical="center"/>
    </xf>
    <xf numFmtId="41" fontId="2" fillId="5" borderId="1" xfId="1" applyFont="1" applyFill="1" applyBorder="1" applyAlignment="1">
      <alignment vertical="center" wrapText="1"/>
    </xf>
    <xf numFmtId="0" fontId="0" fillId="0" borderId="0" xfId="0" applyAlignment="1">
      <alignment vertical="center"/>
    </xf>
    <xf numFmtId="0" fontId="0" fillId="0" borderId="0" xfId="0" applyAlignment="1">
      <alignment horizontal="left" vertical="center"/>
    </xf>
    <xf numFmtId="0" fontId="6" fillId="0" borderId="5" xfId="0" applyFont="1" applyBorder="1" applyAlignment="1">
      <alignment horizontal="left" vertical="center" wrapText="1"/>
    </xf>
    <xf numFmtId="0" fontId="7" fillId="2" borderId="9" xfId="0" applyFont="1" applyFill="1" applyBorder="1" applyAlignment="1">
      <alignment horizontal="left" vertical="center" wrapText="1"/>
    </xf>
    <xf numFmtId="41" fontId="7" fillId="2" borderId="10" xfId="3" applyFont="1" applyFill="1" applyBorder="1" applyAlignment="1">
      <alignment horizontal="center" vertical="center" wrapText="1"/>
    </xf>
    <xf numFmtId="166" fontId="7" fillId="2" borderId="11" xfId="0" applyNumberFormat="1" applyFont="1" applyFill="1" applyBorder="1" applyAlignment="1">
      <alignment horizontal="center" vertical="center" wrapText="1"/>
    </xf>
    <xf numFmtId="166" fontId="7" fillId="2" borderId="10" xfId="0" applyNumberFormat="1" applyFont="1" applyFill="1" applyBorder="1" applyAlignment="1">
      <alignment horizontal="center" vertical="center" wrapText="1"/>
    </xf>
    <xf numFmtId="0" fontId="12" fillId="0" borderId="13" xfId="0" applyFont="1" applyBorder="1" applyAlignment="1">
      <alignment horizontal="left" vertical="center" wrapText="1"/>
    </xf>
    <xf numFmtId="41" fontId="12" fillId="3" borderId="14" xfId="3" applyFont="1" applyFill="1" applyBorder="1" applyAlignment="1">
      <alignment vertical="center"/>
    </xf>
    <xf numFmtId="166" fontId="12" fillId="3" borderId="15" xfId="0" applyNumberFormat="1" applyFont="1" applyFill="1" applyBorder="1" applyAlignment="1">
      <alignment vertical="center"/>
    </xf>
    <xf numFmtId="41" fontId="12" fillId="7" borderId="14" xfId="3" applyFont="1" applyFill="1" applyBorder="1" applyAlignment="1">
      <alignment vertical="center"/>
    </xf>
    <xf numFmtId="166" fontId="12" fillId="3" borderId="14" xfId="0" applyNumberFormat="1" applyFont="1" applyFill="1" applyBorder="1" applyAlignment="1">
      <alignment vertical="center"/>
    </xf>
    <xf numFmtId="9" fontId="12" fillId="3" borderId="16" xfId="2" applyFont="1" applyFill="1" applyBorder="1" applyAlignment="1">
      <alignment vertical="center"/>
    </xf>
    <xf numFmtId="0" fontId="12" fillId="0" borderId="17" xfId="0" applyFont="1" applyBorder="1" applyAlignment="1">
      <alignment horizontal="left" vertical="center" wrapText="1"/>
    </xf>
    <xf numFmtId="41" fontId="12" fillId="3" borderId="18" xfId="3" applyFont="1" applyFill="1" applyBorder="1" applyAlignment="1">
      <alignment vertical="center"/>
    </xf>
    <xf numFmtId="166" fontId="12" fillId="3" borderId="19" xfId="0" applyNumberFormat="1" applyFont="1" applyFill="1" applyBorder="1" applyAlignment="1">
      <alignment vertical="center"/>
    </xf>
    <xf numFmtId="41" fontId="12" fillId="7" borderId="18" xfId="3" applyFont="1" applyFill="1" applyBorder="1" applyAlignment="1">
      <alignment vertical="center"/>
    </xf>
    <xf numFmtId="166" fontId="12" fillId="3" borderId="18" xfId="0" applyNumberFormat="1" applyFont="1" applyFill="1" applyBorder="1" applyAlignment="1">
      <alignment vertical="center"/>
    </xf>
    <xf numFmtId="0" fontId="11" fillId="0" borderId="0" xfId="0" applyFont="1" applyAlignment="1">
      <alignment vertical="center"/>
    </xf>
    <xf numFmtId="0" fontId="7" fillId="2" borderId="17" xfId="0" applyFont="1" applyFill="1" applyBorder="1" applyAlignment="1">
      <alignment horizontal="left" vertical="center" wrapText="1"/>
    </xf>
    <xf numFmtId="41" fontId="7" fillId="2" borderId="19" xfId="3" applyFont="1" applyFill="1" applyBorder="1" applyAlignment="1">
      <alignment vertical="center"/>
    </xf>
    <xf numFmtId="41" fontId="7" fillId="2" borderId="17" xfId="3" applyFont="1" applyFill="1" applyBorder="1" applyAlignment="1">
      <alignment vertical="center"/>
    </xf>
    <xf numFmtId="166" fontId="7" fillId="2" borderId="17" xfId="0" applyNumberFormat="1" applyFont="1" applyFill="1" applyBorder="1" applyAlignment="1">
      <alignment vertical="center"/>
    </xf>
    <xf numFmtId="166" fontId="7" fillId="2" borderId="20" xfId="0" applyNumberFormat="1" applyFont="1" applyFill="1" applyBorder="1" applyAlignment="1">
      <alignment vertical="center"/>
    </xf>
    <xf numFmtId="0" fontId="12" fillId="7" borderId="17" xfId="0" applyFont="1" applyFill="1" applyBorder="1" applyAlignment="1">
      <alignment horizontal="left" vertical="center" wrapText="1"/>
    </xf>
    <xf numFmtId="41" fontId="12" fillId="7" borderId="18" xfId="3" applyFont="1" applyFill="1" applyBorder="1" applyAlignment="1">
      <alignment vertical="center" wrapText="1"/>
    </xf>
    <xf numFmtId="41" fontId="12" fillId="7" borderId="21" xfId="3" applyFont="1" applyFill="1" applyBorder="1" applyAlignment="1">
      <alignment vertical="center" wrapText="1"/>
    </xf>
    <xf numFmtId="166" fontId="12" fillId="3" borderId="22" xfId="0" applyNumberFormat="1" applyFont="1" applyFill="1" applyBorder="1" applyAlignment="1">
      <alignment vertical="center"/>
    </xf>
    <xf numFmtId="41" fontId="12" fillId="7" borderId="21" xfId="3" applyFont="1" applyFill="1" applyBorder="1" applyAlignment="1">
      <alignment vertical="center"/>
    </xf>
    <xf numFmtId="166" fontId="12" fillId="3" borderId="21" xfId="0" applyNumberFormat="1" applyFont="1" applyFill="1" applyBorder="1" applyAlignment="1">
      <alignment vertical="center"/>
    </xf>
    <xf numFmtId="9" fontId="12" fillId="3" borderId="23" xfId="2" applyFont="1" applyFill="1" applyBorder="1" applyAlignment="1">
      <alignment vertical="center"/>
    </xf>
    <xf numFmtId="0" fontId="7" fillId="10" borderId="2" xfId="0" applyFont="1" applyFill="1" applyBorder="1" applyAlignment="1">
      <alignment horizontal="left" vertical="center" wrapText="1"/>
    </xf>
    <xf numFmtId="41" fontId="7" fillId="10" borderId="24" xfId="3" applyFont="1" applyFill="1" applyBorder="1" applyAlignment="1">
      <alignment vertical="center"/>
    </xf>
    <xf numFmtId="166" fontId="7" fillId="10" borderId="24" xfId="0" applyNumberFormat="1" applyFont="1" applyFill="1" applyBorder="1" applyAlignment="1">
      <alignment vertical="center"/>
    </xf>
    <xf numFmtId="9" fontId="7" fillId="10" borderId="24" xfId="2" applyFont="1" applyFill="1" applyBorder="1" applyAlignment="1">
      <alignment vertical="center"/>
    </xf>
    <xf numFmtId="0" fontId="7" fillId="10" borderId="6" xfId="0" applyFont="1" applyFill="1" applyBorder="1" applyAlignment="1">
      <alignment horizontal="left" vertical="center" wrapText="1"/>
    </xf>
    <xf numFmtId="41" fontId="7" fillId="10" borderId="25" xfId="3" applyFont="1" applyFill="1" applyBorder="1" applyAlignment="1">
      <alignment vertical="center"/>
    </xf>
    <xf numFmtId="166" fontId="7" fillId="10" borderId="25" xfId="0" applyNumberFormat="1" applyFont="1" applyFill="1" applyBorder="1" applyAlignment="1">
      <alignment vertical="center"/>
    </xf>
    <xf numFmtId="9" fontId="7" fillId="10" borderId="25" xfId="2" applyFont="1" applyFill="1" applyBorder="1" applyAlignment="1">
      <alignment vertical="center"/>
    </xf>
    <xf numFmtId="0" fontId="12" fillId="0" borderId="26" xfId="0" applyFont="1" applyBorder="1" applyAlignment="1">
      <alignment horizontal="left" vertical="center" wrapText="1"/>
    </xf>
    <xf numFmtId="41" fontId="12" fillId="3" borderId="27" xfId="3" applyFont="1" applyFill="1" applyBorder="1" applyAlignment="1">
      <alignment vertical="center"/>
    </xf>
    <xf numFmtId="41" fontId="12" fillId="7" borderId="27" xfId="3" applyFont="1" applyFill="1" applyBorder="1" applyAlignment="1">
      <alignment vertical="center"/>
    </xf>
    <xf numFmtId="166" fontId="12" fillId="3" borderId="27" xfId="0" applyNumberFormat="1" applyFont="1" applyFill="1" applyBorder="1" applyAlignment="1">
      <alignment vertical="center"/>
    </xf>
    <xf numFmtId="166" fontId="12" fillId="3" borderId="23" xfId="0" applyNumberFormat="1" applyFont="1" applyFill="1" applyBorder="1" applyAlignment="1">
      <alignment vertical="center"/>
    </xf>
    <xf numFmtId="166" fontId="12" fillId="7" borderId="27" xfId="0" applyNumberFormat="1" applyFont="1" applyFill="1" applyBorder="1" applyAlignment="1">
      <alignment vertical="center"/>
    </xf>
    <xf numFmtId="0" fontId="7" fillId="10" borderId="5" xfId="0" applyFont="1" applyFill="1" applyBorder="1" applyAlignment="1">
      <alignment horizontal="left" vertical="center" wrapText="1"/>
    </xf>
    <xf numFmtId="41" fontId="7" fillId="10" borderId="28" xfId="3" applyFont="1" applyFill="1" applyBorder="1" applyAlignment="1">
      <alignment vertical="center"/>
    </xf>
    <xf numFmtId="166" fontId="7" fillId="10" borderId="28" xfId="0" applyNumberFormat="1" applyFont="1" applyFill="1" applyBorder="1" applyAlignment="1">
      <alignment vertical="center"/>
    </xf>
    <xf numFmtId="9" fontId="7" fillId="10" borderId="28" xfId="2" applyFont="1" applyFill="1" applyBorder="1" applyAlignment="1">
      <alignment vertical="center"/>
    </xf>
    <xf numFmtId="0" fontId="7" fillId="10" borderId="9" xfId="0" applyFont="1" applyFill="1" applyBorder="1" applyAlignment="1">
      <alignment horizontal="left" vertical="center" wrapText="1"/>
    </xf>
    <xf numFmtId="41" fontId="7" fillId="10" borderId="29" xfId="3" applyFont="1" applyFill="1" applyBorder="1" applyAlignment="1">
      <alignment vertical="center"/>
    </xf>
    <xf numFmtId="166" fontId="7" fillId="10" borderId="29" xfId="0" applyNumberFormat="1" applyFont="1" applyFill="1" applyBorder="1" applyAlignment="1">
      <alignment vertical="center"/>
    </xf>
    <xf numFmtId="9" fontId="7" fillId="10" borderId="29" xfId="2" applyFont="1" applyFill="1" applyBorder="1" applyAlignment="1">
      <alignment vertical="center"/>
    </xf>
    <xf numFmtId="9" fontId="13" fillId="11" borderId="30" xfId="2" applyFont="1" applyFill="1" applyBorder="1" applyAlignment="1">
      <alignment vertical="center"/>
    </xf>
    <xf numFmtId="41" fontId="2" fillId="9" borderId="1" xfId="1" applyFont="1" applyFill="1" applyBorder="1" applyAlignment="1">
      <alignment horizontal="center" vertical="center"/>
    </xf>
    <xf numFmtId="41" fontId="2" fillId="2" borderId="1" xfId="1" applyFont="1" applyFill="1" applyBorder="1" applyAlignment="1">
      <alignment horizontal="center" vertical="center" wrapText="1"/>
    </xf>
    <xf numFmtId="41" fontId="3" fillId="2" borderId="1" xfId="1" applyFont="1" applyFill="1" applyBorder="1" applyAlignment="1">
      <alignment vertical="center" wrapText="1"/>
    </xf>
    <xf numFmtId="41" fontId="4" fillId="0" borderId="1" xfId="1" applyFont="1" applyBorder="1" applyAlignment="1">
      <alignment vertical="center"/>
    </xf>
    <xf numFmtId="41" fontId="6" fillId="2" borderId="1" xfId="1" applyFont="1" applyFill="1" applyBorder="1" applyAlignment="1">
      <alignment horizontal="center" vertical="center" wrapText="1"/>
    </xf>
    <xf numFmtId="9" fontId="7" fillId="2" borderId="1" xfId="2" applyFont="1" applyFill="1" applyBorder="1" applyAlignment="1">
      <alignment horizontal="center" vertical="center" wrapText="1"/>
    </xf>
    <xf numFmtId="41" fontId="2" fillId="9" borderId="2" xfId="1" applyFont="1" applyFill="1" applyBorder="1" applyAlignment="1">
      <alignment horizontal="center" vertical="center"/>
    </xf>
    <xf numFmtId="41" fontId="2" fillId="9" borderId="3" xfId="1" applyFont="1" applyFill="1" applyBorder="1" applyAlignment="1">
      <alignment horizontal="center" vertical="center"/>
    </xf>
    <xf numFmtId="41" fontId="2" fillId="9" borderId="4" xfId="1" applyFont="1" applyFill="1" applyBorder="1" applyAlignment="1">
      <alignment horizontal="center" vertical="center"/>
    </xf>
    <xf numFmtId="41" fontId="3" fillId="7" borderId="1" xfId="1" applyFont="1" applyFill="1" applyBorder="1" applyAlignment="1">
      <alignment horizontal="center" vertical="center"/>
    </xf>
    <xf numFmtId="41" fontId="2" fillId="2" borderId="1" xfId="1" applyFont="1" applyFill="1" applyBorder="1" applyAlignment="1">
      <alignment horizontal="center" vertical="center"/>
    </xf>
    <xf numFmtId="41" fontId="2" fillId="5" borderId="1" xfId="1" applyFont="1" applyFill="1" applyBorder="1" applyAlignment="1">
      <alignment vertical="center" wrapText="1"/>
    </xf>
    <xf numFmtId="166" fontId="6" fillId="2" borderId="6" xfId="0" applyNumberFormat="1" applyFont="1" applyFill="1" applyBorder="1" applyAlignment="1">
      <alignment horizontal="center" vertical="center" wrapText="1"/>
    </xf>
    <xf numFmtId="166" fontId="6" fillId="2" borderId="7" xfId="0" applyNumberFormat="1" applyFont="1" applyFill="1" applyBorder="1" applyAlignment="1">
      <alignment horizontal="center" vertical="center" wrapText="1"/>
    </xf>
    <xf numFmtId="166" fontId="7" fillId="2" borderId="8" xfId="0" applyNumberFormat="1" applyFont="1" applyFill="1" applyBorder="1" applyAlignment="1">
      <alignment horizontal="center" vertical="center" wrapText="1"/>
    </xf>
    <xf numFmtId="166" fontId="7" fillId="2" borderId="12" xfId="0" applyNumberFormat="1" applyFont="1" applyFill="1" applyBorder="1" applyAlignment="1">
      <alignment horizontal="center" vertical="center" wrapText="1"/>
    </xf>
    <xf numFmtId="0" fontId="14" fillId="0" borderId="0" xfId="0" applyFont="1"/>
    <xf numFmtId="168" fontId="15" fillId="0" borderId="0" xfId="4" applyNumberFormat="1" applyFont="1"/>
    <xf numFmtId="0" fontId="15" fillId="0" borderId="0" xfId="0" applyFont="1"/>
    <xf numFmtId="168" fontId="14" fillId="0" borderId="0" xfId="4" applyNumberFormat="1" applyFont="1" applyAlignment="1">
      <alignment horizontal="left"/>
    </xf>
    <xf numFmtId="0" fontId="14" fillId="10" borderId="31" xfId="0" applyFont="1" applyFill="1" applyBorder="1" applyAlignment="1">
      <alignment horizontal="center" vertical="center"/>
    </xf>
    <xf numFmtId="168" fontId="14" fillId="10" borderId="32" xfId="4" applyNumberFormat="1" applyFont="1" applyFill="1" applyBorder="1" applyAlignment="1">
      <alignment horizontal="center"/>
    </xf>
    <xf numFmtId="168" fontId="14" fillId="10" borderId="28" xfId="4" applyNumberFormat="1" applyFont="1" applyFill="1" applyBorder="1" applyAlignment="1">
      <alignment horizontal="center"/>
    </xf>
    <xf numFmtId="0" fontId="14" fillId="10" borderId="18" xfId="0" applyFont="1" applyFill="1" applyBorder="1" applyAlignment="1">
      <alignment horizontal="center" vertical="center"/>
    </xf>
    <xf numFmtId="168" fontId="14" fillId="10" borderId="1" xfId="4" applyNumberFormat="1" applyFont="1" applyFill="1" applyBorder="1" applyAlignment="1">
      <alignment horizontal="center"/>
    </xf>
    <xf numFmtId="168" fontId="14" fillId="10" borderId="19" xfId="4" applyNumberFormat="1" applyFont="1" applyFill="1" applyBorder="1" applyAlignment="1">
      <alignment horizontal="center"/>
    </xf>
    <xf numFmtId="0" fontId="14" fillId="0" borderId="18" xfId="0" applyFont="1" applyBorder="1"/>
    <xf numFmtId="168" fontId="14" fillId="0" borderId="1" xfId="4" applyNumberFormat="1" applyFont="1" applyBorder="1"/>
    <xf numFmtId="168" fontId="14" fillId="0" borderId="19" xfId="4" applyNumberFormat="1" applyFont="1" applyBorder="1"/>
    <xf numFmtId="0" fontId="15" fillId="0" borderId="18" xfId="0" applyFont="1" applyBorder="1"/>
    <xf numFmtId="168" fontId="15" fillId="0" borderId="1" xfId="4" applyNumberFormat="1" applyFont="1" applyBorder="1"/>
    <xf numFmtId="0" fontId="16" fillId="0" borderId="18" xfId="0" applyFont="1" applyBorder="1" applyAlignment="1">
      <alignment horizontal="right"/>
    </xf>
    <xf numFmtId="168" fontId="15" fillId="0" borderId="0" xfId="4" applyNumberFormat="1" applyFont="1" applyBorder="1"/>
    <xf numFmtId="168" fontId="15" fillId="0" borderId="19" xfId="4" applyNumberFormat="1" applyFont="1" applyBorder="1"/>
    <xf numFmtId="0" fontId="16" fillId="0" borderId="18" xfId="0" applyFont="1" applyBorder="1" applyAlignment="1">
      <alignment horizontal="left" wrapText="1"/>
    </xf>
    <xf numFmtId="168" fontId="15" fillId="0" borderId="1" xfId="4" applyNumberFormat="1" applyFont="1" applyBorder="1" applyAlignment="1">
      <alignment vertical="center"/>
    </xf>
    <xf numFmtId="168" fontId="14" fillId="0" borderId="0" xfId="0" applyNumberFormat="1" applyFont="1"/>
    <xf numFmtId="168" fontId="15" fillId="0" borderId="19" xfId="4" applyNumberFormat="1" applyFont="1" applyBorder="1" applyAlignment="1">
      <alignment vertical="center"/>
    </xf>
    <xf numFmtId="0" fontId="14" fillId="0" borderId="33" xfId="0" applyFont="1" applyBorder="1"/>
    <xf numFmtId="168" fontId="14" fillId="0" borderId="34" xfId="4" applyNumberFormat="1" applyFont="1" applyBorder="1"/>
    <xf numFmtId="168" fontId="14" fillId="0" borderId="29" xfId="4" applyNumberFormat="1" applyFont="1" applyBorder="1"/>
    <xf numFmtId="0" fontId="15" fillId="0" borderId="14" xfId="0" applyFont="1" applyBorder="1" applyAlignment="1">
      <alignment horizontal="right"/>
    </xf>
    <xf numFmtId="168" fontId="15" fillId="0" borderId="15" xfId="4" applyNumberFormat="1" applyFont="1" applyBorder="1"/>
    <xf numFmtId="0" fontId="15" fillId="0" borderId="18" xfId="0" applyFont="1" applyBorder="1" applyAlignment="1">
      <alignment horizontal="right"/>
    </xf>
    <xf numFmtId="0" fontId="15" fillId="0" borderId="21" xfId="0" applyFont="1" applyBorder="1" applyAlignment="1">
      <alignment horizontal="right"/>
    </xf>
    <xf numFmtId="168" fontId="15" fillId="0" borderId="35" xfId="4" applyNumberFormat="1" applyFont="1" applyBorder="1"/>
    <xf numFmtId="168" fontId="15" fillId="0" borderId="22" xfId="4" applyNumberFormat="1" applyFont="1" applyBorder="1"/>
    <xf numFmtId="0" fontId="15" fillId="0" borderId="33" xfId="0" applyFont="1" applyBorder="1" applyAlignment="1">
      <alignment horizontal="right"/>
    </xf>
    <xf numFmtId="168" fontId="15" fillId="0" borderId="34" xfId="4" applyNumberFormat="1" applyFont="1" applyBorder="1"/>
    <xf numFmtId="168" fontId="15" fillId="0" borderId="29" xfId="4" applyNumberFormat="1" applyFont="1" applyBorder="1"/>
    <xf numFmtId="0" fontId="16" fillId="0" borderId="14" xfId="0" applyFont="1" applyBorder="1" applyAlignment="1">
      <alignment horizontal="right"/>
    </xf>
    <xf numFmtId="168" fontId="16" fillId="0" borderId="1" xfId="4" applyNumberFormat="1" applyFont="1" applyBorder="1"/>
    <xf numFmtId="168" fontId="16" fillId="0" borderId="15" xfId="4" applyNumberFormat="1" applyFont="1" applyBorder="1"/>
    <xf numFmtId="168" fontId="16" fillId="0" borderId="19" xfId="4" applyNumberFormat="1" applyFont="1" applyBorder="1"/>
    <xf numFmtId="168" fontId="15" fillId="0" borderId="0" xfId="0" applyNumberFormat="1" applyFont="1"/>
    <xf numFmtId="0" fontId="16" fillId="0" borderId="33" xfId="0" applyFont="1" applyBorder="1" applyAlignment="1">
      <alignment horizontal="right"/>
    </xf>
    <xf numFmtId="168" fontId="16" fillId="0" borderId="34" xfId="4" applyNumberFormat="1" applyFont="1" applyBorder="1"/>
    <xf numFmtId="168" fontId="16" fillId="0" borderId="29" xfId="4" applyNumberFormat="1" applyFont="1" applyBorder="1"/>
    <xf numFmtId="0" fontId="17" fillId="0" borderId="0" xfId="0" applyFont="1" applyAlignment="1">
      <alignment vertical="center"/>
    </xf>
    <xf numFmtId="0" fontId="17" fillId="0" borderId="0" xfId="0" applyFont="1" applyAlignment="1">
      <alignment horizontal="justify" vertical="center"/>
    </xf>
    <xf numFmtId="0" fontId="18" fillId="0" borderId="0" xfId="0" applyFont="1" applyAlignment="1">
      <alignment horizontal="justify" vertical="center"/>
    </xf>
    <xf numFmtId="0" fontId="14" fillId="0" borderId="0" xfId="0" applyFont="1" applyAlignment="1">
      <alignment vertical="center"/>
    </xf>
  </cellXfs>
  <cellStyles count="5">
    <cellStyle name="Milliers [0]" xfId="1" builtinId="6"/>
    <cellStyle name="Milliers [0] 2" xfId="3" xr:uid="{A9816599-E1CA-487E-8C4D-D8DE22ED6C1E}"/>
    <cellStyle name="Milliers 2" xfId="4" xr:uid="{65C91D95-AA27-42FA-856A-1427F196AFDC}"/>
    <cellStyle name="Normal" xfId="0" builtinId="0"/>
    <cellStyle name="Pourcentage" xfId="2" builtinId="5"/>
  </cellStyles>
  <dxfs count="0"/>
  <tableStyles count="0" defaultTableStyle="TableStyleMedium2" defaultPivotStyle="PivotStyleLight16"/>
  <colors>
    <mruColors>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portailpartispolitiques.b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1AC84-ED40-419B-A116-3E2A3C8102B2}">
  <sheetPr>
    <tabColor rgb="FFFFFF00"/>
    <pageSetUpPr fitToPage="1"/>
  </sheetPr>
  <dimension ref="A1:XEH152"/>
  <sheetViews>
    <sheetView tabSelected="1" view="pageBreakPreview" zoomScale="90" zoomScaleNormal="90" zoomScaleSheetLayoutView="90" workbookViewId="0">
      <pane ySplit="5" topLeftCell="A87" activePane="bottomLeft" state="frozen"/>
      <selection activeCell="B1" sqref="B1"/>
      <selection pane="bottomLeft" activeCell="T152" sqref="T152"/>
    </sheetView>
  </sheetViews>
  <sheetFormatPr baseColWidth="10" defaultColWidth="9.1796875" defaultRowHeight="13" outlineLevelCol="1" x14ac:dyDescent="0.35"/>
  <cols>
    <col min="1" max="1" width="76.1796875" style="60" customWidth="1"/>
    <col min="2" max="2" width="13.453125" style="1" hidden="1" customWidth="1" outlineLevel="1"/>
    <col min="3" max="3" width="9.453125" style="1" hidden="1" customWidth="1" outlineLevel="1"/>
    <col min="4" max="5" width="12.54296875" style="1" hidden="1" customWidth="1" outlineLevel="1"/>
    <col min="6" max="6" width="18" style="1" hidden="1" customWidth="1" outlineLevel="1"/>
    <col min="7" max="7" width="12.453125" style="1" hidden="1" customWidth="1" outlineLevel="1"/>
    <col min="8" max="8" width="11.7265625" style="1" customWidth="1" collapsed="1"/>
    <col min="9" max="9" width="15.7265625" style="1" customWidth="1"/>
    <col min="10" max="10" width="11.36328125" style="1" customWidth="1"/>
    <col min="11" max="12" width="12.7265625" style="1" customWidth="1"/>
    <col min="13" max="15" width="12.7265625" style="1" hidden="1" customWidth="1" outlineLevel="1"/>
    <col min="16" max="16" width="12.7265625" style="1" customWidth="1" collapsed="1"/>
    <col min="17" max="19" width="12.7265625" style="1" customWidth="1"/>
    <col min="20" max="20" width="17.54296875" style="45" customWidth="1"/>
    <col min="21" max="16361" width="9.1796875" style="1"/>
    <col min="16362" max="16362" width="11.6328125" style="1" bestFit="1" customWidth="1"/>
    <col min="16363" max="16384" width="11.6328125" style="1" customWidth="1"/>
  </cols>
  <sheetData>
    <row r="1" spans="1:20" s="4" customFormat="1" ht="22.5" customHeight="1" x14ac:dyDescent="0.35">
      <c r="A1" s="79" t="s">
        <v>186</v>
      </c>
      <c r="B1" s="78"/>
      <c r="C1" s="78"/>
      <c r="D1" s="78"/>
      <c r="E1" s="56"/>
      <c r="F1" s="7">
        <v>7.0001980841902904</v>
      </c>
      <c r="J1" s="56"/>
      <c r="K1" s="2"/>
      <c r="M1" s="5"/>
      <c r="N1" s="5"/>
      <c r="T1" s="44"/>
    </row>
    <row r="2" spans="1:20" x14ac:dyDescent="0.35">
      <c r="A2" s="59" t="s">
        <v>171</v>
      </c>
      <c r="C2" s="1" t="s">
        <v>0</v>
      </c>
      <c r="F2" s="7"/>
      <c r="G2" s="7"/>
      <c r="H2" s="1" t="s">
        <v>0</v>
      </c>
      <c r="K2" s="7"/>
      <c r="L2" s="7"/>
      <c r="M2" s="7"/>
      <c r="N2" s="7"/>
    </row>
    <row r="3" spans="1:20" ht="15" customHeight="1" x14ac:dyDescent="0.35">
      <c r="A3" s="80">
        <v>655.95699999999999</v>
      </c>
      <c r="B3" s="149" t="s">
        <v>173</v>
      </c>
      <c r="C3" s="149"/>
      <c r="D3" s="149"/>
      <c r="E3" s="149"/>
      <c r="F3" s="149"/>
      <c r="G3" s="149"/>
      <c r="H3" s="149" t="s">
        <v>174</v>
      </c>
      <c r="I3" s="149"/>
      <c r="J3" s="149"/>
      <c r="K3" s="149"/>
      <c r="L3" s="149"/>
      <c r="M3" s="91"/>
      <c r="N3" s="91"/>
      <c r="O3" s="91"/>
      <c r="P3" s="91"/>
      <c r="Q3" s="91"/>
      <c r="R3" s="91"/>
      <c r="S3" s="91"/>
      <c r="T3" s="49"/>
    </row>
    <row r="4" spans="1:20" ht="38" customHeight="1" x14ac:dyDescent="0.35">
      <c r="A4" s="61" t="s">
        <v>1</v>
      </c>
      <c r="B4" s="150" t="s">
        <v>158</v>
      </c>
      <c r="C4" s="150"/>
      <c r="D4" s="150"/>
      <c r="E4" s="150"/>
      <c r="F4" s="150"/>
      <c r="G4" s="150"/>
      <c r="H4" s="150" t="s">
        <v>172</v>
      </c>
      <c r="I4" s="150"/>
      <c r="J4" s="150"/>
      <c r="K4" s="150"/>
      <c r="L4" s="150"/>
      <c r="M4" s="150" t="s">
        <v>100</v>
      </c>
      <c r="N4" s="150"/>
      <c r="O4" s="150"/>
      <c r="P4" s="153" t="s">
        <v>178</v>
      </c>
      <c r="Q4" s="153"/>
      <c r="R4" s="153" t="s">
        <v>180</v>
      </c>
      <c r="S4" s="153"/>
      <c r="T4" s="154" t="s">
        <v>182</v>
      </c>
    </row>
    <row r="5" spans="1:20" ht="39" x14ac:dyDescent="0.35">
      <c r="A5" s="62" t="s">
        <v>2</v>
      </c>
      <c r="B5" s="8" t="s">
        <v>3</v>
      </c>
      <c r="C5" s="93" t="s">
        <v>4</v>
      </c>
      <c r="D5" s="89" t="s">
        <v>79</v>
      </c>
      <c r="E5" s="89" t="s">
        <v>89</v>
      </c>
      <c r="F5" s="89" t="s">
        <v>185</v>
      </c>
      <c r="G5" s="89" t="s">
        <v>184</v>
      </c>
      <c r="H5" s="93" t="s">
        <v>4</v>
      </c>
      <c r="I5" s="89" t="s">
        <v>79</v>
      </c>
      <c r="J5" s="89" t="s">
        <v>89</v>
      </c>
      <c r="K5" s="89" t="s">
        <v>7</v>
      </c>
      <c r="L5" s="89" t="s">
        <v>6</v>
      </c>
      <c r="M5" s="89" t="s">
        <v>90</v>
      </c>
      <c r="N5" s="89" t="s">
        <v>60</v>
      </c>
      <c r="O5" s="10" t="s">
        <v>8</v>
      </c>
      <c r="P5" s="81" t="s">
        <v>177</v>
      </c>
      <c r="Q5" s="81" t="s">
        <v>101</v>
      </c>
      <c r="R5" s="81" t="s">
        <v>177</v>
      </c>
      <c r="S5" s="81" t="s">
        <v>101</v>
      </c>
      <c r="T5" s="154"/>
    </row>
    <row r="6" spans="1:20" ht="15" customHeight="1" x14ac:dyDescent="0.35">
      <c r="A6" s="63" t="s">
        <v>9</v>
      </c>
      <c r="B6" s="12"/>
      <c r="C6" s="3"/>
      <c r="D6" s="3"/>
      <c r="E6" s="3"/>
      <c r="F6" s="13"/>
      <c r="G6" s="13"/>
      <c r="H6" s="3"/>
      <c r="I6" s="3"/>
      <c r="J6" s="3"/>
      <c r="K6" s="13"/>
      <c r="L6" s="13"/>
      <c r="M6" s="14" t="s">
        <v>101</v>
      </c>
      <c r="N6" s="14" t="s">
        <v>101</v>
      </c>
      <c r="O6" s="14" t="s">
        <v>101</v>
      </c>
      <c r="P6" s="13"/>
      <c r="Q6" s="13"/>
      <c r="R6" s="13"/>
      <c r="S6" s="13"/>
      <c r="T6" s="46"/>
    </row>
    <row r="7" spans="1:20" ht="15" customHeight="1" x14ac:dyDescent="0.35">
      <c r="A7" s="61" t="s">
        <v>10</v>
      </c>
      <c r="B7" s="12"/>
      <c r="C7" s="3"/>
      <c r="D7" s="3"/>
      <c r="E7" s="3"/>
      <c r="F7" s="13"/>
      <c r="G7" s="13"/>
      <c r="H7" s="3"/>
      <c r="I7" s="3"/>
      <c r="J7" s="3"/>
      <c r="K7" s="13"/>
      <c r="L7" s="13"/>
      <c r="M7" s="13"/>
      <c r="N7" s="13"/>
      <c r="O7" s="91"/>
      <c r="P7" s="13"/>
      <c r="Q7" s="13"/>
      <c r="R7" s="13"/>
      <c r="S7" s="13"/>
      <c r="T7" s="46"/>
    </row>
    <row r="8" spans="1:20" ht="27.65" customHeight="1" x14ac:dyDescent="0.35">
      <c r="A8" s="64" t="s">
        <v>11</v>
      </c>
      <c r="B8" s="15"/>
      <c r="C8" s="91"/>
      <c r="D8" s="91"/>
      <c r="E8" s="91"/>
      <c r="F8" s="16" t="s">
        <v>0</v>
      </c>
      <c r="G8" s="16"/>
      <c r="H8" s="91"/>
      <c r="I8" s="91"/>
      <c r="J8" s="91"/>
      <c r="K8" s="16" t="s">
        <v>0</v>
      </c>
      <c r="L8" s="16"/>
      <c r="M8" s="16"/>
      <c r="N8" s="16"/>
      <c r="O8" s="91"/>
      <c r="P8" s="16"/>
      <c r="Q8" s="16"/>
      <c r="R8" s="16"/>
      <c r="S8" s="16"/>
      <c r="T8" s="43"/>
    </row>
    <row r="9" spans="1:20" ht="15" customHeight="1" x14ac:dyDescent="0.35">
      <c r="A9" s="64" t="s">
        <v>12</v>
      </c>
      <c r="B9" s="15" t="s">
        <v>13</v>
      </c>
      <c r="C9" s="91">
        <v>62</v>
      </c>
      <c r="D9" s="91">
        <f>1705548/2</f>
        <v>852774</v>
      </c>
      <c r="E9" s="91">
        <f>D9/$A$3</f>
        <v>1300.0455822561539</v>
      </c>
      <c r="F9" s="16">
        <f>+C9*D9</f>
        <v>52871988</v>
      </c>
      <c r="G9" s="16">
        <f>+F9/655.957</f>
        <v>80602.826099881553</v>
      </c>
      <c r="H9" s="91">
        <v>12</v>
      </c>
      <c r="I9" s="91">
        <f>1705548/2</f>
        <v>852774</v>
      </c>
      <c r="J9" s="91">
        <f>I9/$A$3</f>
        <v>1300.0455822561539</v>
      </c>
      <c r="K9" s="16">
        <f>+H9*I9</f>
        <v>10233288</v>
      </c>
      <c r="L9" s="16">
        <f>+K9/655.957</f>
        <v>15600.546987073849</v>
      </c>
      <c r="M9" s="16"/>
      <c r="N9" s="16">
        <f>+K9</f>
        <v>10233288</v>
      </c>
      <c r="O9" s="16"/>
      <c r="P9" s="16">
        <v>10232928</v>
      </c>
      <c r="Q9" s="16">
        <f>+P9/655.957</f>
        <v>15599.998170611794</v>
      </c>
      <c r="R9" s="16">
        <f>+K9-P9</f>
        <v>360</v>
      </c>
      <c r="S9" s="42">
        <f>+R9/655.957</f>
        <v>0.54881646205467738</v>
      </c>
      <c r="T9" s="43">
        <f>+P9/K9</f>
        <v>0.99996482069106229</v>
      </c>
    </row>
    <row r="10" spans="1:20" ht="15" customHeight="1" x14ac:dyDescent="0.35">
      <c r="A10" s="64" t="s">
        <v>14</v>
      </c>
      <c r="B10" s="15" t="s">
        <v>13</v>
      </c>
      <c r="C10" s="91">
        <v>62</v>
      </c>
      <c r="D10" s="91">
        <v>1147925</v>
      </c>
      <c r="E10" s="91">
        <f>D10/$A$3</f>
        <v>1750.0003811225431</v>
      </c>
      <c r="F10" s="16">
        <f t="shared" ref="F10:F13" si="0">+C10*D10</f>
        <v>71171350</v>
      </c>
      <c r="G10" s="16">
        <f t="shared" ref="G10:G12" si="1">+F10/655.957</f>
        <v>108500.02362959768</v>
      </c>
      <c r="H10" s="91">
        <v>12</v>
      </c>
      <c r="I10" s="91">
        <v>1147925</v>
      </c>
      <c r="J10" s="91">
        <f>I10/$A$3</f>
        <v>1750.0003811225431</v>
      </c>
      <c r="K10" s="16">
        <f t="shared" ref="K10:K13" si="2">+H10*I10</f>
        <v>13775100</v>
      </c>
      <c r="L10" s="16">
        <f t="shared" ref="L10" si="3">+K10/655.957</f>
        <v>21000.004573470516</v>
      </c>
      <c r="M10" s="16"/>
      <c r="N10" s="16">
        <f>+K10</f>
        <v>13775100</v>
      </c>
      <c r="O10" s="16"/>
      <c r="P10" s="16">
        <v>13886564</v>
      </c>
      <c r="Q10" s="16">
        <f t="shared" ref="Q10:Q13" si="4">+P10/655.957</f>
        <v>21169.930346044024</v>
      </c>
      <c r="R10" s="16">
        <f>+K10-P10</f>
        <v>-111464</v>
      </c>
      <c r="S10" s="16">
        <f t="shared" ref="S10:S13" si="5">+R10/655.957</f>
        <v>-169.92577257350712</v>
      </c>
      <c r="T10" s="43">
        <f>+P10/K10</f>
        <v>1.0080917016936357</v>
      </c>
    </row>
    <row r="11" spans="1:20" ht="15" customHeight="1" x14ac:dyDescent="0.35">
      <c r="A11" s="64" t="s">
        <v>15</v>
      </c>
      <c r="B11" s="15" t="s">
        <v>13</v>
      </c>
      <c r="C11" s="91">
        <v>62</v>
      </c>
      <c r="D11" s="91">
        <f>1344712/2</f>
        <v>672356</v>
      </c>
      <c r="E11" s="91">
        <f>D11/$A$3</f>
        <v>1025.0001143367629</v>
      </c>
      <c r="F11" s="16">
        <f t="shared" si="0"/>
        <v>41686072</v>
      </c>
      <c r="G11" s="16">
        <f>+F11/655.957</f>
        <v>63550.007088879305</v>
      </c>
      <c r="H11" s="91">
        <v>12</v>
      </c>
      <c r="I11" s="91">
        <f>1344712/2</f>
        <v>672356</v>
      </c>
      <c r="J11" s="91">
        <f>I11/$A$3</f>
        <v>1025.0001143367629</v>
      </c>
      <c r="K11" s="16">
        <f t="shared" si="2"/>
        <v>8068272</v>
      </c>
      <c r="L11" s="16">
        <f>+K11/655.957</f>
        <v>12300.001372041155</v>
      </c>
      <c r="M11" s="16"/>
      <c r="N11" s="16">
        <f>+K11</f>
        <v>8068272</v>
      </c>
      <c r="O11" s="16"/>
      <c r="P11" s="16">
        <v>8067996</v>
      </c>
      <c r="Q11" s="16">
        <f t="shared" si="4"/>
        <v>12299.58061275358</v>
      </c>
      <c r="R11" s="16">
        <f>+K11-P11</f>
        <v>276</v>
      </c>
      <c r="S11" s="16">
        <f t="shared" si="5"/>
        <v>0.42075928757525266</v>
      </c>
      <c r="T11" s="43">
        <f>+P11/K11</f>
        <v>0.99996579193165525</v>
      </c>
    </row>
    <row r="12" spans="1:20" ht="15" customHeight="1" x14ac:dyDescent="0.35">
      <c r="A12" s="64" t="s">
        <v>58</v>
      </c>
      <c r="B12" s="15" t="s">
        <v>13</v>
      </c>
      <c r="C12" s="91">
        <v>62</v>
      </c>
      <c r="D12" s="91">
        <v>229585</v>
      </c>
      <c r="E12" s="91">
        <f>D12/$A$3</f>
        <v>350.00007622450863</v>
      </c>
      <c r="F12" s="16">
        <f t="shared" si="0"/>
        <v>14234270</v>
      </c>
      <c r="G12" s="16">
        <f t="shared" si="1"/>
        <v>21700.004725919534</v>
      </c>
      <c r="H12" s="91">
        <v>12</v>
      </c>
      <c r="I12" s="91">
        <v>229585</v>
      </c>
      <c r="J12" s="91">
        <f>I12/$A$3</f>
        <v>350.00007622450863</v>
      </c>
      <c r="K12" s="16">
        <f t="shared" si="2"/>
        <v>2755020</v>
      </c>
      <c r="L12" s="16">
        <f t="shared" ref="L12" si="6">+K12/655.957</f>
        <v>4200.0009146941038</v>
      </c>
      <c r="M12" s="16"/>
      <c r="N12" s="16">
        <f>+K12</f>
        <v>2755020</v>
      </c>
      <c r="O12" s="16"/>
      <c r="P12" s="16">
        <v>2685680</v>
      </c>
      <c r="Q12" s="16">
        <f t="shared" si="4"/>
        <v>4094.2927661416829</v>
      </c>
      <c r="R12" s="16">
        <f>+K12-P12</f>
        <v>69340</v>
      </c>
      <c r="S12" s="16">
        <f t="shared" si="5"/>
        <v>105.70814855242035</v>
      </c>
      <c r="T12" s="43">
        <f>+P12/K12</f>
        <v>0.97483139868313118</v>
      </c>
    </row>
    <row r="13" spans="1:20" ht="15" customHeight="1" x14ac:dyDescent="0.35">
      <c r="A13" s="64" t="s">
        <v>170</v>
      </c>
      <c r="B13" s="15" t="s">
        <v>16</v>
      </c>
      <c r="C13" s="91">
        <v>62</v>
      </c>
      <c r="D13" s="91">
        <v>551004</v>
      </c>
      <c r="E13" s="91">
        <f>60*8</f>
        <v>480</v>
      </c>
      <c r="F13" s="16">
        <f t="shared" si="0"/>
        <v>34162248</v>
      </c>
      <c r="G13" s="16">
        <f>+F13/655.957</f>
        <v>52080.011342206883</v>
      </c>
      <c r="H13" s="91">
        <v>12</v>
      </c>
      <c r="I13" s="91">
        <v>551004</v>
      </c>
      <c r="J13" s="91">
        <f>60*8</f>
        <v>480</v>
      </c>
      <c r="K13" s="16">
        <f t="shared" si="2"/>
        <v>6612048</v>
      </c>
      <c r="L13" s="16">
        <f>+K13/655.957</f>
        <v>10080.002195265848</v>
      </c>
      <c r="M13" s="16">
        <f>+K13</f>
        <v>6612048</v>
      </c>
      <c r="N13" s="16"/>
      <c r="O13" s="16"/>
      <c r="P13" s="84">
        <f>141/8*D13</f>
        <v>9711445.5</v>
      </c>
      <c r="Q13" s="16">
        <f t="shared" si="4"/>
        <v>14805.003224296715</v>
      </c>
      <c r="R13" s="16">
        <f>+K13-P13</f>
        <v>-3099397.5</v>
      </c>
      <c r="S13" s="16">
        <f t="shared" si="5"/>
        <v>-4725.0010290308664</v>
      </c>
      <c r="T13" s="43">
        <f>+P13/K13</f>
        <v>1.46875</v>
      </c>
    </row>
    <row r="14" spans="1:20" ht="15" customHeight="1" x14ac:dyDescent="0.35">
      <c r="A14" s="65" t="s">
        <v>17</v>
      </c>
      <c r="B14" s="90"/>
      <c r="C14" s="90"/>
      <c r="D14" s="90"/>
      <c r="E14" s="90"/>
      <c r="F14" s="18">
        <f t="shared" ref="F14" si="7">SUM(F9:F13)</f>
        <v>214125928</v>
      </c>
      <c r="G14" s="18">
        <f>SUM(G9:G13)</f>
        <v>326432.87288648495</v>
      </c>
      <c r="H14" s="18"/>
      <c r="I14" s="18"/>
      <c r="J14" s="18"/>
      <c r="K14" s="18">
        <f>SUM(K9:K13)</f>
        <v>41443728</v>
      </c>
      <c r="L14" s="18">
        <f t="shared" ref="L14:S14" si="8">SUM(L9:L13)</f>
        <v>63180.556042545468</v>
      </c>
      <c r="M14" s="18">
        <f t="shared" si="8"/>
        <v>6612048</v>
      </c>
      <c r="N14" s="18">
        <f t="shared" si="8"/>
        <v>34831680</v>
      </c>
      <c r="O14" s="18">
        <f t="shared" si="8"/>
        <v>0</v>
      </c>
      <c r="P14" s="18">
        <f>SUM(P9:P13)</f>
        <v>44584613.5</v>
      </c>
      <c r="Q14" s="18">
        <f t="shared" si="8"/>
        <v>67968.805119847806</v>
      </c>
      <c r="R14" s="18">
        <f>SUM(R9:R13)</f>
        <v>-3140885.5</v>
      </c>
      <c r="S14" s="18">
        <f t="shared" si="8"/>
        <v>-4788.2490773023237</v>
      </c>
      <c r="T14" s="47"/>
    </row>
    <row r="15" spans="1:20" ht="15" customHeight="1" x14ac:dyDescent="0.35">
      <c r="A15" s="61" t="s">
        <v>8</v>
      </c>
      <c r="B15" s="15"/>
      <c r="C15" s="91"/>
      <c r="D15" s="91"/>
      <c r="E15" s="91"/>
      <c r="F15" s="16"/>
      <c r="G15" s="16"/>
      <c r="H15" s="91"/>
      <c r="I15" s="91"/>
      <c r="J15" s="91"/>
      <c r="K15" s="16"/>
      <c r="L15" s="16"/>
      <c r="M15" s="16"/>
      <c r="N15" s="16"/>
      <c r="O15" s="16"/>
      <c r="P15" s="16"/>
      <c r="Q15" s="16"/>
      <c r="R15" s="16"/>
      <c r="S15" s="16"/>
      <c r="T15" s="43"/>
    </row>
    <row r="16" spans="1:20" ht="30" customHeight="1" x14ac:dyDescent="0.35">
      <c r="A16" s="64" t="s">
        <v>18</v>
      </c>
      <c r="B16" s="15"/>
      <c r="C16" s="91"/>
      <c r="D16" s="91" t="s">
        <v>0</v>
      </c>
      <c r="E16" s="91"/>
      <c r="F16" s="16"/>
      <c r="G16" s="16"/>
      <c r="H16" s="91"/>
      <c r="I16" s="91" t="s">
        <v>0</v>
      </c>
      <c r="J16" s="91"/>
      <c r="K16" s="16"/>
      <c r="L16" s="16"/>
      <c r="M16" s="16"/>
      <c r="N16" s="16"/>
      <c r="O16" s="16"/>
      <c r="P16" s="16"/>
      <c r="Q16" s="16"/>
      <c r="R16" s="16"/>
      <c r="S16" s="16"/>
      <c r="T16" s="43"/>
    </row>
    <row r="17" spans="1:20" ht="15" customHeight="1" x14ac:dyDescent="0.35">
      <c r="A17" s="64" t="s">
        <v>84</v>
      </c>
      <c r="B17" s="15" t="s">
        <v>13</v>
      </c>
      <c r="C17" s="91">
        <v>62</v>
      </c>
      <c r="D17" s="91">
        <f>1705548*15%</f>
        <v>255832.19999999998</v>
      </c>
      <c r="E17" s="91">
        <f>D17/$A$3</f>
        <v>390.01367467684616</v>
      </c>
      <c r="F17" s="16">
        <f t="shared" ref="F17:F20" si="9">+C17*D17</f>
        <v>15861596.399999999</v>
      </c>
      <c r="G17" s="16">
        <f>+F17/655.957</f>
        <v>24180.847829964463</v>
      </c>
      <c r="H17" s="91">
        <v>12</v>
      </c>
      <c r="I17" s="91">
        <f>1705548*15%</f>
        <v>255832.19999999998</v>
      </c>
      <c r="J17" s="91">
        <f>I17/$A$3</f>
        <v>390.01367467684616</v>
      </c>
      <c r="K17" s="16">
        <f t="shared" ref="K17:K19" si="10">+H17*I17</f>
        <v>3069986.4</v>
      </c>
      <c r="L17" s="16">
        <f>+K17/655.957</f>
        <v>4680.1640961221547</v>
      </c>
      <c r="M17" s="16"/>
      <c r="N17" s="16"/>
      <c r="O17" s="16">
        <f>+K17</f>
        <v>3069986.4</v>
      </c>
      <c r="P17" s="27">
        <v>3069879</v>
      </c>
      <c r="Q17" s="16">
        <f t="shared" ref="Q17:Q20" si="11">+P17/655.957</f>
        <v>4680.0003658776413</v>
      </c>
      <c r="R17" s="16">
        <f>+K17-P17</f>
        <v>107.39999999990687</v>
      </c>
      <c r="S17" s="16">
        <f t="shared" ref="S17:S20" si="12">+R17/655.957</f>
        <v>0.16373024451283677</v>
      </c>
      <c r="T17" s="43">
        <f>+P17/K17</f>
        <v>0.99996501613166755</v>
      </c>
    </row>
    <row r="18" spans="1:20" ht="15" customHeight="1" x14ac:dyDescent="0.35">
      <c r="A18" s="64" t="s">
        <v>19</v>
      </c>
      <c r="B18" s="15" t="s">
        <v>13</v>
      </c>
      <c r="C18" s="91">
        <v>62</v>
      </c>
      <c r="D18" s="91">
        <v>1147925</v>
      </c>
      <c r="E18" s="91">
        <f>D18/$A$3</f>
        <v>1750.0003811225431</v>
      </c>
      <c r="F18" s="16">
        <f t="shared" si="9"/>
        <v>71171350</v>
      </c>
      <c r="G18" s="16">
        <f t="shared" ref="G18:G19" si="13">+F18/655.957</f>
        <v>108500.02362959768</v>
      </c>
      <c r="H18" s="91">
        <v>12</v>
      </c>
      <c r="I18" s="91">
        <v>1147925</v>
      </c>
      <c r="J18" s="91">
        <f>I18/$A$3</f>
        <v>1750.0003811225431</v>
      </c>
      <c r="K18" s="16">
        <f t="shared" si="10"/>
        <v>13775100</v>
      </c>
      <c r="L18" s="16">
        <f t="shared" ref="L18:L19" si="14">+K18/655.957</f>
        <v>21000.004573470516</v>
      </c>
      <c r="M18" s="16"/>
      <c r="N18" s="16"/>
      <c r="O18" s="16">
        <f>+K18</f>
        <v>13775100</v>
      </c>
      <c r="P18" s="27">
        <v>13742299</v>
      </c>
      <c r="Q18" s="16">
        <f t="shared" si="11"/>
        <v>20949.999771326475</v>
      </c>
      <c r="R18" s="16">
        <f>+K18-P18</f>
        <v>32801</v>
      </c>
      <c r="S18" s="16">
        <f t="shared" si="12"/>
        <v>50.004802144042976</v>
      </c>
      <c r="T18" s="43">
        <f>+P18/K18</f>
        <v>0.99761881946410558</v>
      </c>
    </row>
    <row r="19" spans="1:20" ht="15" customHeight="1" x14ac:dyDescent="0.35">
      <c r="A19" s="64" t="s">
        <v>20</v>
      </c>
      <c r="B19" s="15" t="s">
        <v>13</v>
      </c>
      <c r="C19" s="91">
        <v>62</v>
      </c>
      <c r="D19" s="91">
        <f>1344712*25%</f>
        <v>336178</v>
      </c>
      <c r="E19" s="91">
        <f>D19/$A$3</f>
        <v>512.50005716838143</v>
      </c>
      <c r="F19" s="16">
        <f t="shared" si="9"/>
        <v>20843036</v>
      </c>
      <c r="G19" s="16">
        <f t="shared" si="13"/>
        <v>31775.003544439653</v>
      </c>
      <c r="H19" s="91">
        <v>12</v>
      </c>
      <c r="I19" s="91">
        <f>1344712*25%</f>
        <v>336178</v>
      </c>
      <c r="J19" s="91">
        <f>I19/$A$3</f>
        <v>512.50005716838143</v>
      </c>
      <c r="K19" s="16">
        <f t="shared" si="10"/>
        <v>4034136</v>
      </c>
      <c r="L19" s="16">
        <f t="shared" si="14"/>
        <v>6150.0006860205776</v>
      </c>
      <c r="M19" s="16"/>
      <c r="N19" s="16"/>
      <c r="O19" s="16">
        <f>+K19</f>
        <v>4034136</v>
      </c>
      <c r="P19" s="27">
        <v>4034136</v>
      </c>
      <c r="Q19" s="16">
        <f t="shared" si="11"/>
        <v>6150.0006860205776</v>
      </c>
      <c r="R19" s="16">
        <f>+K19-P19</f>
        <v>0</v>
      </c>
      <c r="S19" s="16">
        <f t="shared" si="12"/>
        <v>0</v>
      </c>
      <c r="T19" s="43">
        <f>+P19/K19</f>
        <v>1</v>
      </c>
    </row>
    <row r="20" spans="1:20" ht="15" customHeight="1" x14ac:dyDescent="0.35">
      <c r="A20" s="64" t="s">
        <v>21</v>
      </c>
      <c r="B20" s="15" t="s">
        <v>13</v>
      </c>
      <c r="C20" s="91"/>
      <c r="D20" s="91">
        <v>0</v>
      </c>
      <c r="E20" s="91"/>
      <c r="F20" s="16">
        <f t="shared" si="9"/>
        <v>0</v>
      </c>
      <c r="G20" s="16">
        <f t="shared" ref="G20" si="15">+F20*655.957</f>
        <v>0</v>
      </c>
      <c r="H20" s="91"/>
      <c r="I20" s="91"/>
      <c r="J20" s="91"/>
      <c r="K20" s="16"/>
      <c r="L20" s="16"/>
      <c r="M20" s="16"/>
      <c r="N20" s="16"/>
      <c r="O20" s="16"/>
      <c r="P20" s="27"/>
      <c r="Q20" s="16">
        <f t="shared" si="11"/>
        <v>0</v>
      </c>
      <c r="R20" s="16">
        <f>+K20-P20</f>
        <v>0</v>
      </c>
      <c r="S20" s="16">
        <f t="shared" si="12"/>
        <v>0</v>
      </c>
      <c r="T20" s="43"/>
    </row>
    <row r="21" spans="1:20" ht="15" customHeight="1" x14ac:dyDescent="0.35">
      <c r="A21" s="65" t="s">
        <v>22</v>
      </c>
      <c r="B21" s="90"/>
      <c r="C21" s="17"/>
      <c r="D21" s="17"/>
      <c r="E21" s="17"/>
      <c r="F21" s="18">
        <f>SUM(F17:F20)</f>
        <v>107875982.40000001</v>
      </c>
      <c r="G21" s="18">
        <f>SUM(G17:G20)</f>
        <v>164455.87500400181</v>
      </c>
      <c r="H21" s="18"/>
      <c r="I21" s="18"/>
      <c r="J21" s="18"/>
      <c r="K21" s="18">
        <f>SUM(K17:K20)</f>
        <v>20879222.399999999</v>
      </c>
      <c r="L21" s="18">
        <f t="shared" ref="L21:S21" si="16">SUM(L17:L20)</f>
        <v>31830.169355613245</v>
      </c>
      <c r="M21" s="18">
        <f t="shared" si="16"/>
        <v>0</v>
      </c>
      <c r="N21" s="18">
        <f t="shared" si="16"/>
        <v>0</v>
      </c>
      <c r="O21" s="18">
        <f t="shared" si="16"/>
        <v>20879222.399999999</v>
      </c>
      <c r="P21" s="18">
        <f>SUM(P17:P20)</f>
        <v>20846314</v>
      </c>
      <c r="Q21" s="18">
        <f t="shared" si="16"/>
        <v>31780.000823224691</v>
      </c>
      <c r="R21" s="18">
        <f t="shared" si="16"/>
        <v>32908.399999999907</v>
      </c>
      <c r="S21" s="18">
        <f t="shared" si="16"/>
        <v>50.168532388555811</v>
      </c>
      <c r="T21" s="47"/>
    </row>
    <row r="22" spans="1:20" ht="15" customHeight="1" collapsed="1" x14ac:dyDescent="0.35">
      <c r="A22" s="65" t="s">
        <v>23</v>
      </c>
      <c r="B22" s="90"/>
      <c r="C22" s="17"/>
      <c r="D22" s="17"/>
      <c r="E22" s="17"/>
      <c r="F22" s="18">
        <f>F14+F21</f>
        <v>322001910.39999998</v>
      </c>
      <c r="G22" s="18">
        <f>G14+G21</f>
        <v>490888.74789048673</v>
      </c>
      <c r="H22" s="18"/>
      <c r="I22" s="18"/>
      <c r="J22" s="18"/>
      <c r="K22" s="18">
        <f>K14+K21</f>
        <v>62322950.399999999</v>
      </c>
      <c r="L22" s="18">
        <f t="shared" ref="L22:S22" si="17">L14+L21</f>
        <v>95010.725398158713</v>
      </c>
      <c r="M22" s="18">
        <f t="shared" si="17"/>
        <v>6612048</v>
      </c>
      <c r="N22" s="18">
        <f t="shared" si="17"/>
        <v>34831680</v>
      </c>
      <c r="O22" s="18">
        <f t="shared" si="17"/>
        <v>20879222.399999999</v>
      </c>
      <c r="P22" s="18">
        <f>P14+P21</f>
        <v>65430927.5</v>
      </c>
      <c r="Q22" s="18">
        <f t="shared" si="17"/>
        <v>99748.805943072497</v>
      </c>
      <c r="R22" s="18">
        <f t="shared" si="17"/>
        <v>-3107977.1</v>
      </c>
      <c r="S22" s="18">
        <f t="shared" si="17"/>
        <v>-4738.0805449137679</v>
      </c>
      <c r="T22" s="47"/>
    </row>
    <row r="23" spans="1:20" ht="15" customHeight="1" x14ac:dyDescent="0.35">
      <c r="A23" s="63" t="s">
        <v>24</v>
      </c>
      <c r="B23" s="12"/>
      <c r="C23" s="3"/>
      <c r="D23" s="3"/>
      <c r="E23" s="3"/>
      <c r="F23" s="13"/>
      <c r="G23" s="13"/>
      <c r="H23" s="3"/>
      <c r="I23" s="3"/>
      <c r="J23" s="3"/>
      <c r="K23" s="13"/>
      <c r="L23" s="13"/>
      <c r="M23" s="16"/>
      <c r="N23" s="16"/>
      <c r="O23" s="16"/>
      <c r="P23" s="13"/>
      <c r="Q23" s="13"/>
      <c r="R23" s="13"/>
      <c r="S23" s="13"/>
      <c r="T23" s="46"/>
    </row>
    <row r="24" spans="1:20" ht="15" customHeight="1" x14ac:dyDescent="0.35">
      <c r="A24" s="64" t="s">
        <v>125</v>
      </c>
      <c r="B24" s="15" t="s">
        <v>13</v>
      </c>
      <c r="C24" s="91">
        <v>62</v>
      </c>
      <c r="D24" s="91">
        <f>81994.5*2</f>
        <v>163989</v>
      </c>
      <c r="E24" s="91">
        <f>D24/$A$3</f>
        <v>249.9996188774569</v>
      </c>
      <c r="F24" s="16">
        <f>C24*D24</f>
        <v>10167318</v>
      </c>
      <c r="G24" s="16">
        <f>+F24/655.957</f>
        <v>15499.976370402328</v>
      </c>
      <c r="H24" s="91">
        <v>12</v>
      </c>
      <c r="I24" s="91">
        <f>81994.5*2</f>
        <v>163989</v>
      </c>
      <c r="J24" s="91">
        <f>I24/$A$3</f>
        <v>249.9996188774569</v>
      </c>
      <c r="K24" s="16">
        <f>H24*I24</f>
        <v>1967868</v>
      </c>
      <c r="L24" s="16">
        <f>+K24/655.957</f>
        <v>2999.9954265294828</v>
      </c>
      <c r="M24" s="16"/>
      <c r="N24" s="16">
        <f>+K24</f>
        <v>1967868</v>
      </c>
      <c r="O24" s="16"/>
      <c r="P24" s="16">
        <v>1840000</v>
      </c>
      <c r="Q24" s="16">
        <f t="shared" ref="Q24:Q25" si="18">+P24/655.957</f>
        <v>2805.0619171683511</v>
      </c>
      <c r="R24" s="16">
        <f>+K24-P24</f>
        <v>127868</v>
      </c>
      <c r="S24" s="16">
        <f t="shared" ref="S24:S25" si="19">+R24/655.957</f>
        <v>194.93350936113191</v>
      </c>
      <c r="T24" s="43">
        <f>+P24/K24</f>
        <v>0.93502206448806524</v>
      </c>
    </row>
    <row r="25" spans="1:20" ht="15" customHeight="1" x14ac:dyDescent="0.35">
      <c r="A25" s="64" t="s">
        <v>25</v>
      </c>
      <c r="B25" s="15" t="s">
        <v>13</v>
      </c>
      <c r="C25" s="91">
        <v>62</v>
      </c>
      <c r="D25" s="91">
        <f>81994.5*2</f>
        <v>163989</v>
      </c>
      <c r="E25" s="91">
        <f>D25/$A$3</f>
        <v>249.9996188774569</v>
      </c>
      <c r="F25" s="16">
        <f>C25*D25</f>
        <v>10167318</v>
      </c>
      <c r="G25" s="16">
        <f>+F25/655.957</f>
        <v>15499.976370402328</v>
      </c>
      <c r="H25" s="91">
        <v>12</v>
      </c>
      <c r="I25" s="91">
        <f>81994.5*2</f>
        <v>163989</v>
      </c>
      <c r="J25" s="91">
        <f>I25/$A$3</f>
        <v>249.9996188774569</v>
      </c>
      <c r="K25" s="16">
        <f>H25*I25</f>
        <v>1967868</v>
      </c>
      <c r="L25" s="16">
        <f>+K25/655.957</f>
        <v>2999.9954265294828</v>
      </c>
      <c r="M25" s="16"/>
      <c r="N25" s="16"/>
      <c r="O25" s="16">
        <f>+K25</f>
        <v>1967868</v>
      </c>
      <c r="P25" s="27">
        <v>2043306</v>
      </c>
      <c r="Q25" s="16">
        <f t="shared" si="18"/>
        <v>3114.9999161530404</v>
      </c>
      <c r="R25" s="16">
        <f>+K25-P25</f>
        <v>-75438</v>
      </c>
      <c r="S25" s="16">
        <f t="shared" si="19"/>
        <v>-115.00448962355765</v>
      </c>
      <c r="T25" s="43">
        <f>+P25/K25</f>
        <v>1.0383348883156798</v>
      </c>
    </row>
    <row r="26" spans="1:20" ht="15" customHeight="1" collapsed="1" x14ac:dyDescent="0.35">
      <c r="A26" s="65" t="s">
        <v>26</v>
      </c>
      <c r="B26" s="90"/>
      <c r="C26" s="90"/>
      <c r="D26" s="90"/>
      <c r="E26" s="90"/>
      <c r="F26" s="18">
        <f>SUM(F24:F25)</f>
        <v>20334636</v>
      </c>
      <c r="G26" s="18">
        <f>SUM(G24:G25)</f>
        <v>30999.952740804656</v>
      </c>
      <c r="H26" s="18"/>
      <c r="I26" s="18"/>
      <c r="J26" s="18"/>
      <c r="K26" s="18">
        <f t="shared" ref="K26:S26" si="20">SUM(K24:K25)</f>
        <v>3935736</v>
      </c>
      <c r="L26" s="18">
        <f t="shared" si="20"/>
        <v>5999.9908530589655</v>
      </c>
      <c r="M26" s="18">
        <f t="shared" si="20"/>
        <v>0</v>
      </c>
      <c r="N26" s="18">
        <f t="shared" si="20"/>
        <v>1967868</v>
      </c>
      <c r="O26" s="18">
        <f t="shared" si="20"/>
        <v>1967868</v>
      </c>
      <c r="P26" s="18">
        <f>SUM(P24:P25)</f>
        <v>3883306</v>
      </c>
      <c r="Q26" s="18">
        <f t="shared" si="20"/>
        <v>5920.0618333213915</v>
      </c>
      <c r="R26" s="18">
        <f>SUM(R24:R25)</f>
        <v>52430</v>
      </c>
      <c r="S26" s="18">
        <f t="shared" si="20"/>
        <v>79.929019737574265</v>
      </c>
      <c r="T26" s="47"/>
    </row>
    <row r="27" spans="1:20" ht="15" customHeight="1" x14ac:dyDescent="0.35">
      <c r="A27" s="63" t="s">
        <v>59</v>
      </c>
      <c r="B27" s="12"/>
      <c r="C27" s="3"/>
      <c r="D27" s="3"/>
      <c r="E27" s="3"/>
      <c r="F27" s="13"/>
      <c r="G27" s="13"/>
      <c r="H27" s="3"/>
      <c r="I27" s="3"/>
      <c r="J27" s="3"/>
      <c r="K27" s="13"/>
      <c r="L27" s="13"/>
      <c r="M27" s="16"/>
      <c r="N27" s="16"/>
      <c r="O27" s="16"/>
      <c r="P27" s="13"/>
      <c r="Q27" s="13"/>
      <c r="R27" s="13"/>
      <c r="S27" s="13"/>
      <c r="T27" s="46"/>
    </row>
    <row r="28" spans="1:20" ht="15" customHeight="1" x14ac:dyDescent="0.35">
      <c r="A28" s="63" t="s">
        <v>60</v>
      </c>
      <c r="B28" s="12"/>
      <c r="C28" s="3"/>
      <c r="D28" s="3"/>
      <c r="E28" s="3"/>
      <c r="F28" s="13"/>
      <c r="G28" s="13"/>
      <c r="H28" s="3"/>
      <c r="I28" s="3"/>
      <c r="J28" s="3"/>
      <c r="K28" s="13"/>
      <c r="L28" s="13"/>
      <c r="M28" s="16"/>
      <c r="N28" s="16"/>
      <c r="O28" s="16"/>
      <c r="P28" s="13"/>
      <c r="Q28" s="13"/>
      <c r="R28" s="13"/>
      <c r="S28" s="13"/>
      <c r="T28" s="46"/>
    </row>
    <row r="29" spans="1:20" ht="24" customHeight="1" x14ac:dyDescent="0.35">
      <c r="A29" s="64" t="s">
        <v>159</v>
      </c>
      <c r="B29" s="15" t="s">
        <v>27</v>
      </c>
      <c r="C29" s="91">
        <v>4</v>
      </c>
      <c r="D29" s="91">
        <v>721552.7</v>
      </c>
      <c r="E29" s="91">
        <f t="shared" ref="E29:E34" si="21">D29/$A$3</f>
        <v>1100</v>
      </c>
      <c r="F29" s="16">
        <f>C29*D29</f>
        <v>2886210.8</v>
      </c>
      <c r="G29" s="16">
        <f>+F29/655.957</f>
        <v>4400</v>
      </c>
      <c r="H29" s="91">
        <v>0</v>
      </c>
      <c r="I29" s="91">
        <v>721552.7</v>
      </c>
      <c r="J29" s="91">
        <f t="shared" ref="J29:J34" si="22">I29/$A$3</f>
        <v>1100</v>
      </c>
      <c r="K29" s="16">
        <f>H29*I29</f>
        <v>0</v>
      </c>
      <c r="L29" s="16">
        <f>+K29/655.957</f>
        <v>0</v>
      </c>
      <c r="M29" s="16"/>
      <c r="N29" s="16"/>
      <c r="O29" s="16"/>
      <c r="P29" s="16"/>
      <c r="Q29" s="16">
        <f t="shared" ref="Q29:Q34" si="23">+P29/655.957</f>
        <v>0</v>
      </c>
      <c r="R29" s="16">
        <f t="shared" ref="R29:R34" si="24">+K29-P29</f>
        <v>0</v>
      </c>
      <c r="S29" s="16">
        <f t="shared" ref="S29:S34" si="25">+R29/655.957</f>
        <v>0</v>
      </c>
      <c r="T29" s="43"/>
    </row>
    <row r="30" spans="1:20" ht="15" customHeight="1" x14ac:dyDescent="0.35">
      <c r="A30" s="64" t="s">
        <v>28</v>
      </c>
      <c r="B30" s="15" t="s">
        <v>29</v>
      </c>
      <c r="C30" s="91">
        <v>1</v>
      </c>
      <c r="D30" s="91">
        <v>327978.5</v>
      </c>
      <c r="E30" s="91">
        <f t="shared" si="21"/>
        <v>500</v>
      </c>
      <c r="F30" s="16">
        <f>C30*D30</f>
        <v>327978.5</v>
      </c>
      <c r="G30" s="16">
        <f>+F30/655.957</f>
        <v>500</v>
      </c>
      <c r="H30" s="91">
        <v>0</v>
      </c>
      <c r="I30" s="91">
        <v>327978.5</v>
      </c>
      <c r="J30" s="91">
        <f t="shared" si="22"/>
        <v>500</v>
      </c>
      <c r="K30" s="16">
        <f>H30*I30</f>
        <v>0</v>
      </c>
      <c r="L30" s="16">
        <f>+K30/655.957</f>
        <v>0</v>
      </c>
      <c r="M30" s="16"/>
      <c r="N30" s="16"/>
      <c r="O30" s="16"/>
      <c r="P30" s="16"/>
      <c r="Q30" s="16">
        <f t="shared" si="23"/>
        <v>0</v>
      </c>
      <c r="R30" s="16">
        <f t="shared" si="24"/>
        <v>0</v>
      </c>
      <c r="S30" s="16">
        <f t="shared" si="25"/>
        <v>0</v>
      </c>
      <c r="T30" s="43"/>
    </row>
    <row r="31" spans="1:20" ht="15" customHeight="1" x14ac:dyDescent="0.35">
      <c r="A31" s="64" t="s">
        <v>30</v>
      </c>
      <c r="B31" s="15" t="s">
        <v>13</v>
      </c>
      <c r="C31" s="91">
        <v>62</v>
      </c>
      <c r="D31" s="91">
        <f>131191.482/2</f>
        <v>65595.740999999995</v>
      </c>
      <c r="E31" s="91">
        <f t="shared" si="21"/>
        <v>100.00006250409706</v>
      </c>
      <c r="F31" s="16">
        <f>+(65596*26)+(D31*48)</f>
        <v>4854091.568</v>
      </c>
      <c r="G31" s="16">
        <f t="shared" ref="G31:G34" si="26">+F31/655.957</f>
        <v>7400.0148912200038</v>
      </c>
      <c r="H31" s="91">
        <v>12</v>
      </c>
      <c r="I31" s="91">
        <f>131191.482/2</f>
        <v>65595.740999999995</v>
      </c>
      <c r="J31" s="91">
        <f t="shared" si="22"/>
        <v>100.00006250409706</v>
      </c>
      <c r="K31" s="16">
        <f>+H31*I31</f>
        <v>787148.89199999999</v>
      </c>
      <c r="L31" s="16">
        <f t="shared" ref="L31:L34" si="27">+K31/655.957</f>
        <v>1200.0007500491647</v>
      </c>
      <c r="M31" s="16"/>
      <c r="N31" s="16">
        <f>+K31</f>
        <v>787148.89199999999</v>
      </c>
      <c r="O31" s="16"/>
      <c r="P31" s="16">
        <v>787148</v>
      </c>
      <c r="Q31" s="16">
        <f t="shared" si="23"/>
        <v>1199.9993902039312</v>
      </c>
      <c r="R31" s="16">
        <f t="shared" si="24"/>
        <v>0.89199999999254942</v>
      </c>
      <c r="S31" s="16">
        <f t="shared" si="25"/>
        <v>1.3598452337463423E-3</v>
      </c>
      <c r="T31" s="43">
        <f>+P31/K31</f>
        <v>0.99999886679634686</v>
      </c>
    </row>
    <row r="32" spans="1:20" ht="15" customHeight="1" x14ac:dyDescent="0.35">
      <c r="A32" s="64" t="s">
        <v>31</v>
      </c>
      <c r="B32" s="15" t="s">
        <v>13</v>
      </c>
      <c r="C32" s="91">
        <v>62</v>
      </c>
      <c r="D32" s="91">
        <f>327978.5164/2</f>
        <v>163989.25820000001</v>
      </c>
      <c r="E32" s="91">
        <f t="shared" si="21"/>
        <v>250.00001250081942</v>
      </c>
      <c r="F32" s="16">
        <f>+(163989*26)+(D32*48)</f>
        <v>12135198.3936</v>
      </c>
      <c r="G32" s="16">
        <f t="shared" si="26"/>
        <v>18499.99069085321</v>
      </c>
      <c r="H32" s="91">
        <v>12</v>
      </c>
      <c r="I32" s="91">
        <f>327978.5164/2</f>
        <v>163989.25820000001</v>
      </c>
      <c r="J32" s="91">
        <f t="shared" si="22"/>
        <v>250.00001250081942</v>
      </c>
      <c r="K32" s="16">
        <f t="shared" ref="K32:K34" si="28">+H32*I32</f>
        <v>1967871.0984</v>
      </c>
      <c r="L32" s="16">
        <f t="shared" si="27"/>
        <v>3000.0001500098329</v>
      </c>
      <c r="M32" s="16"/>
      <c r="N32" s="16">
        <f>+K32</f>
        <v>1967871.0984</v>
      </c>
      <c r="O32" s="16"/>
      <c r="P32" s="16">
        <v>1967872</v>
      </c>
      <c r="Q32" s="16">
        <f t="shared" si="23"/>
        <v>3000.0015244901724</v>
      </c>
      <c r="R32" s="16">
        <f t="shared" si="24"/>
        <v>-0.90159999998286366</v>
      </c>
      <c r="S32" s="16">
        <f t="shared" si="25"/>
        <v>-1.3744803393863677E-3</v>
      </c>
      <c r="T32" s="43">
        <f>+P32/K32</f>
        <v>1.0000004581600903</v>
      </c>
    </row>
    <row r="33" spans="1:20" ht="15" customHeight="1" x14ac:dyDescent="0.35">
      <c r="A33" s="64" t="s">
        <v>32</v>
      </c>
      <c r="B33" s="15" t="s">
        <v>13</v>
      </c>
      <c r="C33" s="91">
        <v>62</v>
      </c>
      <c r="D33" s="91">
        <f>163989.25/2</f>
        <v>81994.625</v>
      </c>
      <c r="E33" s="91">
        <f t="shared" si="21"/>
        <v>125</v>
      </c>
      <c r="F33" s="16">
        <f>+(81995*26)+(D33*48)</f>
        <v>6067612</v>
      </c>
      <c r="G33" s="16">
        <f t="shared" si="26"/>
        <v>9250.0148637791808</v>
      </c>
      <c r="H33" s="91">
        <v>12</v>
      </c>
      <c r="I33" s="91">
        <f>163989.25/2</f>
        <v>81994.625</v>
      </c>
      <c r="J33" s="91">
        <f t="shared" si="22"/>
        <v>125</v>
      </c>
      <c r="K33" s="16">
        <f t="shared" si="28"/>
        <v>983935.5</v>
      </c>
      <c r="L33" s="16">
        <f t="shared" si="27"/>
        <v>1500</v>
      </c>
      <c r="M33" s="16"/>
      <c r="N33" s="16">
        <f>+K33</f>
        <v>983935.5</v>
      </c>
      <c r="O33" s="16"/>
      <c r="P33" s="16">
        <v>983936</v>
      </c>
      <c r="Q33" s="16">
        <f t="shared" si="23"/>
        <v>1500.0007622450862</v>
      </c>
      <c r="R33" s="16">
        <f t="shared" si="24"/>
        <v>-0.5</v>
      </c>
      <c r="S33" s="16">
        <f t="shared" si="25"/>
        <v>-7.622450861870519E-4</v>
      </c>
      <c r="T33" s="43">
        <f>+P33/K33</f>
        <v>1.0000005081633907</v>
      </c>
    </row>
    <row r="34" spans="1:20" ht="15" customHeight="1" x14ac:dyDescent="0.35">
      <c r="A34" s="64" t="s">
        <v>64</v>
      </c>
      <c r="B34" s="15" t="s">
        <v>13</v>
      </c>
      <c r="C34" s="91">
        <v>36</v>
      </c>
      <c r="D34" s="91">
        <v>100000</v>
      </c>
      <c r="E34" s="91">
        <f t="shared" si="21"/>
        <v>152.44901723741037</v>
      </c>
      <c r="F34" s="16">
        <f>C34*D34</f>
        <v>3600000</v>
      </c>
      <c r="G34" s="16">
        <f t="shared" si="26"/>
        <v>5488.1646205467741</v>
      </c>
      <c r="H34" s="91">
        <v>12</v>
      </c>
      <c r="I34" s="91">
        <v>100000</v>
      </c>
      <c r="J34" s="91">
        <f t="shared" si="22"/>
        <v>152.44901723741037</v>
      </c>
      <c r="K34" s="16">
        <f t="shared" si="28"/>
        <v>1200000</v>
      </c>
      <c r="L34" s="16">
        <f t="shared" si="27"/>
        <v>1829.3882068489245</v>
      </c>
      <c r="M34" s="16"/>
      <c r="N34" s="16">
        <f>+K34</f>
        <v>1200000</v>
      </c>
      <c r="O34" s="16"/>
      <c r="P34" s="16">
        <v>1200000</v>
      </c>
      <c r="Q34" s="16">
        <f t="shared" si="23"/>
        <v>1829.3882068489245</v>
      </c>
      <c r="R34" s="16">
        <f t="shared" si="24"/>
        <v>0</v>
      </c>
      <c r="S34" s="16">
        <f t="shared" si="25"/>
        <v>0</v>
      </c>
      <c r="T34" s="43">
        <f>+P34/K34</f>
        <v>1</v>
      </c>
    </row>
    <row r="35" spans="1:20" ht="15" customHeight="1" x14ac:dyDescent="0.35">
      <c r="A35" s="65" t="s">
        <v>102</v>
      </c>
      <c r="B35" s="90"/>
      <c r="C35" s="90"/>
      <c r="D35" s="90"/>
      <c r="E35" s="17"/>
      <c r="F35" s="18">
        <f>SUM(F29:F34)</f>
        <v>29871091.261599999</v>
      </c>
      <c r="G35" s="18">
        <f>SUM(G29:G34)</f>
        <v>45538.185066399172</v>
      </c>
      <c r="H35" s="18"/>
      <c r="I35" s="18"/>
      <c r="J35" s="18"/>
      <c r="K35" s="18">
        <f t="shared" ref="K35:S35" si="29">SUM(K29:K34)</f>
        <v>4938955.4903999995</v>
      </c>
      <c r="L35" s="18">
        <f t="shared" si="29"/>
        <v>7529.3891069079227</v>
      </c>
      <c r="M35" s="18">
        <f t="shared" si="29"/>
        <v>0</v>
      </c>
      <c r="N35" s="18">
        <f t="shared" si="29"/>
        <v>4938955.4903999995</v>
      </c>
      <c r="O35" s="18">
        <f t="shared" si="29"/>
        <v>0</v>
      </c>
      <c r="P35" s="18">
        <f>SUM(P29:P34)</f>
        <v>4938956</v>
      </c>
      <c r="Q35" s="18">
        <f t="shared" si="29"/>
        <v>7529.3898837881143</v>
      </c>
      <c r="R35" s="18">
        <f>SUM(R29:R34)</f>
        <v>-0.50959999999031425</v>
      </c>
      <c r="S35" s="18">
        <f t="shared" si="29"/>
        <v>-7.7688019182707731E-4</v>
      </c>
      <c r="T35" s="47"/>
    </row>
    <row r="36" spans="1:20" ht="15" customHeight="1" x14ac:dyDescent="0.35">
      <c r="A36" s="63" t="s">
        <v>8</v>
      </c>
      <c r="B36" s="15"/>
      <c r="C36" s="91"/>
      <c r="D36" s="91"/>
      <c r="E36" s="91"/>
      <c r="F36" s="16"/>
      <c r="G36" s="16"/>
      <c r="H36" s="91"/>
      <c r="I36" s="91"/>
      <c r="J36" s="91"/>
      <c r="K36" s="16"/>
      <c r="L36" s="16"/>
      <c r="M36" s="16"/>
      <c r="N36" s="16"/>
      <c r="O36" s="16"/>
      <c r="P36" s="16"/>
      <c r="Q36" s="16"/>
      <c r="R36" s="16"/>
      <c r="S36" s="16"/>
      <c r="T36" s="43"/>
    </row>
    <row r="37" spans="1:20" ht="15" customHeight="1" x14ac:dyDescent="0.35">
      <c r="A37" s="64" t="s">
        <v>160</v>
      </c>
      <c r="B37" s="15" t="s">
        <v>27</v>
      </c>
      <c r="C37" s="91">
        <v>2</v>
      </c>
      <c r="D37" s="91">
        <v>721552.7</v>
      </c>
      <c r="E37" s="91">
        <f t="shared" ref="E37:E42" si="30">D37/$A$3</f>
        <v>1100</v>
      </c>
      <c r="F37" s="16">
        <f t="shared" ref="F37:F41" si="31">C37*D37</f>
        <v>1443105.4</v>
      </c>
      <c r="G37" s="16">
        <f>+F37/655.957</f>
        <v>2200</v>
      </c>
      <c r="H37" s="91">
        <v>0</v>
      </c>
      <c r="I37" s="91">
        <v>721552.7</v>
      </c>
      <c r="J37" s="91">
        <f t="shared" ref="J37:J42" si="32">I37/$A$3</f>
        <v>1100</v>
      </c>
      <c r="K37" s="16">
        <f t="shared" ref="K37:K40" si="33">H37*I37</f>
        <v>0</v>
      </c>
      <c r="L37" s="16">
        <f>+K37/655.957</f>
        <v>0</v>
      </c>
      <c r="M37" s="16"/>
      <c r="N37" s="16"/>
      <c r="O37" s="16"/>
      <c r="P37" s="27"/>
      <c r="Q37" s="16">
        <f t="shared" ref="Q37:Q42" si="34">+P37/655.957</f>
        <v>0</v>
      </c>
      <c r="R37" s="16">
        <f t="shared" ref="R37:R42" si="35">+K37-P37</f>
        <v>0</v>
      </c>
      <c r="S37" s="16">
        <f t="shared" ref="S37:S42" si="36">+R37/655.957</f>
        <v>0</v>
      </c>
      <c r="T37" s="43"/>
    </row>
    <row r="38" spans="1:20" ht="15" customHeight="1" x14ac:dyDescent="0.35">
      <c r="A38" s="64" t="s">
        <v>65</v>
      </c>
      <c r="B38" s="15" t="s">
        <v>29</v>
      </c>
      <c r="C38" s="91">
        <v>1</v>
      </c>
      <c r="D38" s="91">
        <v>327978.5</v>
      </c>
      <c r="E38" s="91">
        <f t="shared" si="30"/>
        <v>500</v>
      </c>
      <c r="F38" s="16">
        <f t="shared" si="31"/>
        <v>327978.5</v>
      </c>
      <c r="G38" s="16">
        <f>+F38/655.957</f>
        <v>500</v>
      </c>
      <c r="H38" s="91">
        <v>0</v>
      </c>
      <c r="I38" s="91">
        <v>327978.5</v>
      </c>
      <c r="J38" s="91">
        <f t="shared" si="32"/>
        <v>500</v>
      </c>
      <c r="K38" s="16">
        <f t="shared" si="33"/>
        <v>0</v>
      </c>
      <c r="L38" s="16">
        <f>+K38/655.957</f>
        <v>0</v>
      </c>
      <c r="M38" s="16"/>
      <c r="N38" s="16"/>
      <c r="O38" s="16"/>
      <c r="P38" s="27"/>
      <c r="Q38" s="16">
        <f t="shared" si="34"/>
        <v>0</v>
      </c>
      <c r="R38" s="16">
        <f t="shared" si="35"/>
        <v>0</v>
      </c>
      <c r="S38" s="16">
        <f t="shared" si="36"/>
        <v>0</v>
      </c>
      <c r="T38" s="43"/>
    </row>
    <row r="39" spans="1:20" ht="15" customHeight="1" x14ac:dyDescent="0.35">
      <c r="A39" s="64" t="s">
        <v>66</v>
      </c>
      <c r="B39" s="15" t="s">
        <v>13</v>
      </c>
      <c r="C39" s="91">
        <v>62</v>
      </c>
      <c r="D39" s="91">
        <f>131191.482/2</f>
        <v>65595.740999999995</v>
      </c>
      <c r="E39" s="91">
        <f t="shared" si="30"/>
        <v>100.00006250409706</v>
      </c>
      <c r="F39" s="16">
        <f t="shared" si="31"/>
        <v>4066935.9419999998</v>
      </c>
      <c r="G39" s="16">
        <f t="shared" ref="G39:G42" si="37">+F39/655.957</f>
        <v>6200.0038752540177</v>
      </c>
      <c r="H39" s="91">
        <v>12</v>
      </c>
      <c r="I39" s="91">
        <f>131191.482/2</f>
        <v>65595.740999999995</v>
      </c>
      <c r="J39" s="91">
        <f t="shared" si="32"/>
        <v>100.00006250409706</v>
      </c>
      <c r="K39" s="16">
        <f t="shared" si="33"/>
        <v>787148.89199999999</v>
      </c>
      <c r="L39" s="16">
        <f t="shared" ref="L39:L42" si="38">+K39/655.957</f>
        <v>1200.0007500491647</v>
      </c>
      <c r="M39" s="16"/>
      <c r="N39" s="16"/>
      <c r="O39" s="16">
        <f>+K39</f>
        <v>787148.89199999999</v>
      </c>
      <c r="P39" s="27"/>
      <c r="Q39" s="16">
        <f t="shared" si="34"/>
        <v>0</v>
      </c>
      <c r="R39" s="16">
        <f t="shared" si="35"/>
        <v>787148.89199999999</v>
      </c>
      <c r="S39" s="16">
        <f t="shared" si="36"/>
        <v>1200.0007500491647</v>
      </c>
      <c r="T39" s="43">
        <f>+P39/K39</f>
        <v>0</v>
      </c>
    </row>
    <row r="40" spans="1:20" ht="15" customHeight="1" x14ac:dyDescent="0.35">
      <c r="A40" s="64" t="s">
        <v>67</v>
      </c>
      <c r="B40" s="15" t="s">
        <v>13</v>
      </c>
      <c r="C40" s="91">
        <v>62</v>
      </c>
      <c r="D40" s="91">
        <f>327978.5164/2</f>
        <v>163989.25820000001</v>
      </c>
      <c r="E40" s="91">
        <f t="shared" si="30"/>
        <v>250.00001250081942</v>
      </c>
      <c r="F40" s="16">
        <f t="shared" si="31"/>
        <v>10167334.008400001</v>
      </c>
      <c r="G40" s="16">
        <f t="shared" si="37"/>
        <v>15500.000775050805</v>
      </c>
      <c r="H40" s="91">
        <v>12</v>
      </c>
      <c r="I40" s="91">
        <f>327978.5164/2</f>
        <v>163989.25820000001</v>
      </c>
      <c r="J40" s="91">
        <f t="shared" si="32"/>
        <v>250.00001250081942</v>
      </c>
      <c r="K40" s="16">
        <f t="shared" si="33"/>
        <v>1967871.0984</v>
      </c>
      <c r="L40" s="16">
        <f t="shared" si="38"/>
        <v>3000.0001500098329</v>
      </c>
      <c r="M40" s="16"/>
      <c r="N40" s="16"/>
      <c r="O40" s="16">
        <f>+K40</f>
        <v>1967871.0984</v>
      </c>
      <c r="P40" s="27">
        <v>4338500</v>
      </c>
      <c r="Q40" s="16">
        <f t="shared" si="34"/>
        <v>6614.0006128450495</v>
      </c>
      <c r="R40" s="16">
        <f t="shared" si="35"/>
        <v>-2370628.9016</v>
      </c>
      <c r="S40" s="16">
        <f t="shared" si="36"/>
        <v>-3614.0004628352162</v>
      </c>
      <c r="T40" s="43">
        <f>+P40/K40</f>
        <v>2.2046667607077857</v>
      </c>
    </row>
    <row r="41" spans="1:20" ht="15" customHeight="1" x14ac:dyDescent="0.35">
      <c r="A41" s="64" t="s">
        <v>68</v>
      </c>
      <c r="B41" s="15" t="s">
        <v>13</v>
      </c>
      <c r="C41" s="91">
        <v>62</v>
      </c>
      <c r="D41" s="91">
        <f>163989.25/2</f>
        <v>81994.625</v>
      </c>
      <c r="E41" s="91">
        <f t="shared" si="30"/>
        <v>125</v>
      </c>
      <c r="F41" s="16">
        <f t="shared" si="31"/>
        <v>5083666.75</v>
      </c>
      <c r="G41" s="16">
        <f t="shared" si="37"/>
        <v>7750</v>
      </c>
      <c r="H41" s="91">
        <v>12</v>
      </c>
      <c r="I41" s="91">
        <f>163989.25/2</f>
        <v>81994.625</v>
      </c>
      <c r="J41" s="91">
        <f t="shared" si="32"/>
        <v>125</v>
      </c>
      <c r="K41" s="16">
        <f>H41*I41</f>
        <v>983935.5</v>
      </c>
      <c r="L41" s="16">
        <f t="shared" si="38"/>
        <v>1500</v>
      </c>
      <c r="M41" s="16"/>
      <c r="N41" s="16"/>
      <c r="O41" s="16">
        <f>+K41</f>
        <v>983935.5</v>
      </c>
      <c r="P41" s="27"/>
      <c r="Q41" s="16">
        <f t="shared" si="34"/>
        <v>0</v>
      </c>
      <c r="R41" s="16">
        <f t="shared" si="35"/>
        <v>983935.5</v>
      </c>
      <c r="S41" s="16">
        <f t="shared" si="36"/>
        <v>1500</v>
      </c>
      <c r="T41" s="43">
        <f>+P41/K41</f>
        <v>0</v>
      </c>
    </row>
    <row r="42" spans="1:20" ht="15" customHeight="1" x14ac:dyDescent="0.35">
      <c r="A42" s="64" t="s">
        <v>69</v>
      </c>
      <c r="B42" s="15" t="s">
        <v>13</v>
      </c>
      <c r="C42" s="91">
        <v>36</v>
      </c>
      <c r="D42" s="91">
        <v>50000</v>
      </c>
      <c r="E42" s="91">
        <f t="shared" si="30"/>
        <v>76.224508618705187</v>
      </c>
      <c r="F42" s="16">
        <f>C42*D42</f>
        <v>1800000</v>
      </c>
      <c r="G42" s="16">
        <f t="shared" si="37"/>
        <v>2744.0823102733871</v>
      </c>
      <c r="H42" s="91">
        <v>12</v>
      </c>
      <c r="I42" s="91">
        <v>50000</v>
      </c>
      <c r="J42" s="91">
        <f t="shared" si="32"/>
        <v>76.224508618705187</v>
      </c>
      <c r="K42" s="16">
        <f>H42*I42</f>
        <v>600000</v>
      </c>
      <c r="L42" s="16">
        <f t="shared" si="38"/>
        <v>914.69410342446224</v>
      </c>
      <c r="M42" s="16"/>
      <c r="N42" s="16"/>
      <c r="O42" s="16">
        <f>+K42</f>
        <v>600000</v>
      </c>
      <c r="P42" s="27"/>
      <c r="Q42" s="16">
        <f t="shared" si="34"/>
        <v>0</v>
      </c>
      <c r="R42" s="16">
        <f t="shared" si="35"/>
        <v>600000</v>
      </c>
      <c r="S42" s="16">
        <f t="shared" si="36"/>
        <v>914.69410342446224</v>
      </c>
      <c r="T42" s="43">
        <f>+P42/K42</f>
        <v>0</v>
      </c>
    </row>
    <row r="43" spans="1:20" ht="15" customHeight="1" x14ac:dyDescent="0.35">
      <c r="A43" s="65" t="s">
        <v>22</v>
      </c>
      <c r="B43" s="20"/>
      <c r="C43" s="17"/>
      <c r="D43" s="17"/>
      <c r="E43" s="17"/>
      <c r="F43" s="18">
        <f>SUM(F37:F42)</f>
        <v>22889020.600400001</v>
      </c>
      <c r="G43" s="18">
        <f>SUM(G37:G42)</f>
        <v>34894.086960578206</v>
      </c>
      <c r="H43" s="18"/>
      <c r="I43" s="18"/>
      <c r="J43" s="18"/>
      <c r="K43" s="18">
        <f t="shared" ref="K43:S43" si="39">SUM(K37:K42)</f>
        <v>4338955.4903999995</v>
      </c>
      <c r="L43" s="18">
        <f t="shared" si="39"/>
        <v>6614.6950034834599</v>
      </c>
      <c r="M43" s="18">
        <f t="shared" si="39"/>
        <v>0</v>
      </c>
      <c r="N43" s="18">
        <f t="shared" si="39"/>
        <v>0</v>
      </c>
      <c r="O43" s="18">
        <f t="shared" si="39"/>
        <v>4338955.4903999995</v>
      </c>
      <c r="P43" s="18">
        <f t="shared" si="39"/>
        <v>4338500</v>
      </c>
      <c r="Q43" s="18">
        <f t="shared" si="39"/>
        <v>6614.0006128450495</v>
      </c>
      <c r="R43" s="18">
        <f t="shared" si="39"/>
        <v>455.49040000000969</v>
      </c>
      <c r="S43" s="18">
        <f t="shared" si="39"/>
        <v>0.69439063841070947</v>
      </c>
      <c r="T43" s="47"/>
    </row>
    <row r="44" spans="1:20" ht="15" customHeight="1" collapsed="1" x14ac:dyDescent="0.35">
      <c r="A44" s="65" t="s">
        <v>61</v>
      </c>
      <c r="B44" s="90"/>
      <c r="C44" s="17"/>
      <c r="D44" s="17"/>
      <c r="E44" s="17"/>
      <c r="F44" s="18">
        <f>F35+F43</f>
        <v>52760111.862000003</v>
      </c>
      <c r="G44" s="18">
        <f>G35+G43</f>
        <v>80432.272026977385</v>
      </c>
      <c r="H44" s="18"/>
      <c r="I44" s="18"/>
      <c r="J44" s="18"/>
      <c r="K44" s="18">
        <f t="shared" ref="K44:S44" si="40">K35+K43</f>
        <v>9277910.9807999991</v>
      </c>
      <c r="L44" s="18">
        <f t="shared" si="40"/>
        <v>14144.084110391383</v>
      </c>
      <c r="M44" s="18">
        <f t="shared" si="40"/>
        <v>0</v>
      </c>
      <c r="N44" s="18">
        <f t="shared" si="40"/>
        <v>4938955.4903999995</v>
      </c>
      <c r="O44" s="18">
        <f t="shared" si="40"/>
        <v>4338955.4903999995</v>
      </c>
      <c r="P44" s="18">
        <f>P35+P43</f>
        <v>9277456</v>
      </c>
      <c r="Q44" s="18">
        <f t="shared" si="40"/>
        <v>14143.390496633165</v>
      </c>
      <c r="R44" s="18">
        <f t="shared" si="40"/>
        <v>454.98080000001937</v>
      </c>
      <c r="S44" s="18">
        <f t="shared" si="40"/>
        <v>0.69361375821888238</v>
      </c>
      <c r="T44" s="47"/>
    </row>
    <row r="45" spans="1:20" ht="15" customHeight="1" x14ac:dyDescent="0.35">
      <c r="A45" s="63" t="s">
        <v>91</v>
      </c>
      <c r="B45" s="12" t="s">
        <v>33</v>
      </c>
      <c r="C45" s="3"/>
      <c r="D45" s="3"/>
      <c r="E45" s="3"/>
      <c r="F45" s="13"/>
      <c r="G45" s="13"/>
      <c r="H45" s="3"/>
      <c r="I45" s="3"/>
      <c r="J45" s="3"/>
      <c r="K45" s="13"/>
      <c r="L45" s="13"/>
      <c r="M45" s="16"/>
      <c r="N45" s="16"/>
      <c r="O45" s="16"/>
      <c r="P45" s="13"/>
      <c r="Q45" s="13"/>
      <c r="R45" s="13"/>
      <c r="S45" s="13"/>
      <c r="T45" s="46"/>
    </row>
    <row r="46" spans="1:20" ht="15" customHeight="1" x14ac:dyDescent="0.35">
      <c r="A46" s="64" t="s">
        <v>92</v>
      </c>
      <c r="B46" s="15" t="s">
        <v>34</v>
      </c>
      <c r="C46" s="91">
        <v>5</v>
      </c>
      <c r="D46" s="91">
        <v>3279785</v>
      </c>
      <c r="E46" s="91">
        <f>D46/$A$3</f>
        <v>5000</v>
      </c>
      <c r="F46" s="16">
        <f t="shared" ref="F46:F47" si="41">C46*D46</f>
        <v>16398925</v>
      </c>
      <c r="G46" s="16">
        <f>+F46/655.957</f>
        <v>25000</v>
      </c>
      <c r="H46" s="91">
        <v>1</v>
      </c>
      <c r="I46" s="91">
        <v>3279785</v>
      </c>
      <c r="J46" s="91">
        <f>I46/$A$3</f>
        <v>5000</v>
      </c>
      <c r="K46" s="16">
        <f>H46*I46</f>
        <v>3279785</v>
      </c>
      <c r="L46" s="16">
        <f>+K46/655.957</f>
        <v>5000</v>
      </c>
      <c r="M46" s="16"/>
      <c r="N46" s="16">
        <f>+K46</f>
        <v>3279785</v>
      </c>
      <c r="O46" s="16"/>
      <c r="P46" s="16">
        <v>3835000</v>
      </c>
      <c r="Q46" s="16">
        <f t="shared" ref="Q46:Q49" si="42">+P46/655.957</f>
        <v>5846.4198110546877</v>
      </c>
      <c r="R46" s="16">
        <f>+K46-P46</f>
        <v>-555215</v>
      </c>
      <c r="S46" s="16">
        <f t="shared" ref="S46:S49" si="43">+R46/655.957</f>
        <v>-846.41981105468801</v>
      </c>
      <c r="T46" s="43">
        <f>+P46/K46</f>
        <v>1.1692839622109377</v>
      </c>
    </row>
    <row r="47" spans="1:20" ht="15" customHeight="1" x14ac:dyDescent="0.35">
      <c r="A47" s="66" t="s">
        <v>93</v>
      </c>
      <c r="B47" s="15" t="s">
        <v>35</v>
      </c>
      <c r="C47" s="91">
        <v>5</v>
      </c>
      <c r="D47" s="91">
        <v>1330937</v>
      </c>
      <c r="E47" s="91">
        <f>D47/$A$3</f>
        <v>2029.0003765490726</v>
      </c>
      <c r="F47" s="16">
        <f t="shared" si="41"/>
        <v>6654685</v>
      </c>
      <c r="G47" s="16">
        <f>+F47/655.957</f>
        <v>10145.001882745362</v>
      </c>
      <c r="H47" s="91">
        <v>1</v>
      </c>
      <c r="I47" s="91">
        <v>1330937</v>
      </c>
      <c r="J47" s="91">
        <f>I47/$A$3</f>
        <v>2029.0003765490726</v>
      </c>
      <c r="K47" s="16">
        <f t="shared" ref="K47" si="44">H47*I47</f>
        <v>1330937</v>
      </c>
      <c r="L47" s="16">
        <f>+K47/655.957</f>
        <v>2029.0003765490726</v>
      </c>
      <c r="M47" s="16"/>
      <c r="N47" s="16">
        <f>+K47</f>
        <v>1330937</v>
      </c>
      <c r="O47" s="16"/>
      <c r="P47" s="16">
        <v>1281031</v>
      </c>
      <c r="Q47" s="16">
        <f t="shared" si="42"/>
        <v>1952.9191700065705</v>
      </c>
      <c r="R47" s="16">
        <f>+K47-P47</f>
        <v>49906</v>
      </c>
      <c r="S47" s="16">
        <f t="shared" si="43"/>
        <v>76.081206542502031</v>
      </c>
      <c r="T47" s="43">
        <f>+P47/K47</f>
        <v>0.96250310871213285</v>
      </c>
    </row>
    <row r="48" spans="1:20" ht="15" customHeight="1" x14ac:dyDescent="0.35">
      <c r="A48" s="64" t="s">
        <v>94</v>
      </c>
      <c r="B48" s="15" t="s">
        <v>13</v>
      </c>
      <c r="C48" s="91">
        <v>62</v>
      </c>
      <c r="D48" s="91">
        <v>32798</v>
      </c>
      <c r="E48" s="91">
        <f>D48/$A$3</f>
        <v>50.000228673525854</v>
      </c>
      <c r="F48" s="16">
        <f>C48*D48</f>
        <v>2033476</v>
      </c>
      <c r="G48" s="16">
        <f t="shared" ref="G48" si="45">+F48/655.957</f>
        <v>3100.0141777586032</v>
      </c>
      <c r="H48" s="91">
        <v>12</v>
      </c>
      <c r="I48" s="91">
        <v>32798</v>
      </c>
      <c r="J48" s="91">
        <f>I48/$A$3</f>
        <v>50.000228673525854</v>
      </c>
      <c r="K48" s="16">
        <f>H48*I48</f>
        <v>393576</v>
      </c>
      <c r="L48" s="16">
        <f t="shared" ref="L48" si="46">+K48/655.957</f>
        <v>600.0027440823103</v>
      </c>
      <c r="M48" s="16"/>
      <c r="N48" s="16">
        <f>+K48</f>
        <v>393576</v>
      </c>
      <c r="O48" s="16"/>
      <c r="P48" s="16">
        <v>421800</v>
      </c>
      <c r="Q48" s="16">
        <f t="shared" si="42"/>
        <v>643.029954707397</v>
      </c>
      <c r="R48" s="16">
        <f>+K48-P48</f>
        <v>-28224</v>
      </c>
      <c r="S48" s="16">
        <f t="shared" si="43"/>
        <v>-43.027210625086703</v>
      </c>
      <c r="T48" s="43">
        <f>+P48/K48</f>
        <v>1.071711689737179</v>
      </c>
    </row>
    <row r="49" spans="1:20" ht="15" customHeight="1" x14ac:dyDescent="0.35">
      <c r="A49" s="64" t="s">
        <v>95</v>
      </c>
      <c r="B49" s="15" t="s">
        <v>62</v>
      </c>
      <c r="C49" s="91">
        <v>0</v>
      </c>
      <c r="D49" s="91">
        <f>2000*A3</f>
        <v>1311914</v>
      </c>
      <c r="E49" s="91">
        <f>D49/$A$3</f>
        <v>2000</v>
      </c>
      <c r="F49" s="16">
        <f t="shared" ref="F49" si="47">C49*D49</f>
        <v>0</v>
      </c>
      <c r="G49" s="16">
        <f>+F49/655.957</f>
        <v>0</v>
      </c>
      <c r="H49" s="91">
        <v>0</v>
      </c>
      <c r="I49" s="91">
        <f>2000*B2</f>
        <v>0</v>
      </c>
      <c r="J49" s="91">
        <f>I49/$A$3</f>
        <v>0</v>
      </c>
      <c r="K49" s="16">
        <f t="shared" ref="K49" si="48">H49*I49</f>
        <v>0</v>
      </c>
      <c r="L49" s="16">
        <f>+K49/655.957</f>
        <v>0</v>
      </c>
      <c r="M49" s="16"/>
      <c r="N49" s="16">
        <f>+K49</f>
        <v>0</v>
      </c>
      <c r="O49" s="16"/>
      <c r="P49" s="16"/>
      <c r="Q49" s="16">
        <f t="shared" si="42"/>
        <v>0</v>
      </c>
      <c r="R49" s="16">
        <f>+K49-P49</f>
        <v>0</v>
      </c>
      <c r="S49" s="16">
        <f t="shared" si="43"/>
        <v>0</v>
      </c>
      <c r="T49" s="43"/>
    </row>
    <row r="50" spans="1:20" ht="15" customHeight="1" collapsed="1" x14ac:dyDescent="0.35">
      <c r="A50" s="65" t="s">
        <v>36</v>
      </c>
      <c r="B50" s="90"/>
      <c r="C50" s="17"/>
      <c r="D50" s="17"/>
      <c r="E50" s="17"/>
      <c r="F50" s="18">
        <f>SUM(F46:F49)</f>
        <v>25087086</v>
      </c>
      <c r="G50" s="18">
        <f>SUM(G46:G49)</f>
        <v>38245.016060503964</v>
      </c>
      <c r="H50" s="18"/>
      <c r="I50" s="18"/>
      <c r="J50" s="18"/>
      <c r="K50" s="18">
        <f t="shared" ref="K50:Q50" si="49">SUM(K46:K49)</f>
        <v>5004298</v>
      </c>
      <c r="L50" s="18">
        <f t="shared" si="49"/>
        <v>7629.0031206313834</v>
      </c>
      <c r="M50" s="18">
        <f t="shared" si="49"/>
        <v>0</v>
      </c>
      <c r="N50" s="18">
        <f t="shared" si="49"/>
        <v>5004298</v>
      </c>
      <c r="O50" s="18">
        <f t="shared" si="49"/>
        <v>0</v>
      </c>
      <c r="P50" s="18">
        <f>SUM(P46:P49)</f>
        <v>5537831</v>
      </c>
      <c r="Q50" s="18">
        <f t="shared" si="49"/>
        <v>8442.3689357686544</v>
      </c>
      <c r="R50" s="18">
        <f t="shared" ref="R50:S50" si="50">SUM(R46:R49)</f>
        <v>-533533</v>
      </c>
      <c r="S50" s="18">
        <f t="shared" si="50"/>
        <v>-813.36581513727265</v>
      </c>
      <c r="T50" s="47"/>
    </row>
    <row r="51" spans="1:20" ht="15" customHeight="1" x14ac:dyDescent="0.35">
      <c r="A51" s="63" t="s">
        <v>97</v>
      </c>
      <c r="B51" s="12"/>
      <c r="C51" s="3"/>
      <c r="D51" s="3"/>
      <c r="E51" s="3"/>
      <c r="F51" s="13"/>
      <c r="G51" s="13"/>
      <c r="H51" s="3"/>
      <c r="I51" s="3"/>
      <c r="J51" s="3"/>
      <c r="K51" s="13"/>
      <c r="L51" s="13"/>
      <c r="M51" s="16"/>
      <c r="N51" s="16"/>
      <c r="O51" s="16"/>
      <c r="P51" s="13"/>
      <c r="Q51" s="13"/>
      <c r="R51" s="13"/>
      <c r="S51" s="13"/>
      <c r="T51" s="46"/>
    </row>
    <row r="52" spans="1:20" ht="15" customHeight="1" x14ac:dyDescent="0.35">
      <c r="A52" s="64" t="s">
        <v>161</v>
      </c>
      <c r="B52" s="15" t="s">
        <v>63</v>
      </c>
      <c r="C52" s="91">
        <v>1</v>
      </c>
      <c r="D52" s="91">
        <v>2000000</v>
      </c>
      <c r="E52" s="91">
        <f>D52/$A$3</f>
        <v>3048.9803447482077</v>
      </c>
      <c r="F52" s="16">
        <f>C52*D52</f>
        <v>2000000</v>
      </c>
      <c r="G52" s="16">
        <f t="shared" ref="G52" si="51">+F52/655.957</f>
        <v>3048.9803447482077</v>
      </c>
      <c r="H52" s="91">
        <v>1</v>
      </c>
      <c r="I52" s="91">
        <v>2000000</v>
      </c>
      <c r="J52" s="91">
        <f>I52/$A$3</f>
        <v>3048.9803447482077</v>
      </c>
      <c r="K52" s="16">
        <f>H52*I52</f>
        <v>2000000</v>
      </c>
      <c r="L52" s="16">
        <f t="shared" ref="L52" si="52">+K52/655.957</f>
        <v>3048.9803447482077</v>
      </c>
      <c r="M52" s="16"/>
      <c r="N52" s="16">
        <f>+K52</f>
        <v>2000000</v>
      </c>
      <c r="O52" s="16"/>
      <c r="P52" s="16">
        <v>1882000</v>
      </c>
      <c r="Q52" s="16">
        <f>+P52/655.957</f>
        <v>2869.0905044080632</v>
      </c>
      <c r="R52" s="16">
        <f>+K52-P52</f>
        <v>118000</v>
      </c>
      <c r="S52" s="16">
        <f>+R52/655.957</f>
        <v>179.88984034014425</v>
      </c>
      <c r="T52" s="43">
        <f>+P52/K52</f>
        <v>0.94099999999999995</v>
      </c>
    </row>
    <row r="53" spans="1:20" ht="15.65" customHeight="1" collapsed="1" x14ac:dyDescent="0.35">
      <c r="A53" s="65" t="s">
        <v>98</v>
      </c>
      <c r="B53" s="90"/>
      <c r="C53" s="17"/>
      <c r="D53" s="17"/>
      <c r="E53" s="17"/>
      <c r="F53" s="18">
        <f>SUM(F52:F52)</f>
        <v>2000000</v>
      </c>
      <c r="G53" s="18">
        <f>+F53/655.957</f>
        <v>3048.9803447482077</v>
      </c>
      <c r="H53" s="18"/>
      <c r="I53" s="18"/>
      <c r="J53" s="18"/>
      <c r="K53" s="18">
        <f t="shared" ref="K53:S53" si="53">SUM(K52)</f>
        <v>2000000</v>
      </c>
      <c r="L53" s="18">
        <f t="shared" si="53"/>
        <v>3048.9803447482077</v>
      </c>
      <c r="M53" s="18">
        <f t="shared" si="53"/>
        <v>0</v>
      </c>
      <c r="N53" s="18">
        <f t="shared" si="53"/>
        <v>2000000</v>
      </c>
      <c r="O53" s="18">
        <f t="shared" si="53"/>
        <v>0</v>
      </c>
      <c r="P53" s="18">
        <f>SUM(P52)</f>
        <v>1882000</v>
      </c>
      <c r="Q53" s="18">
        <f t="shared" si="53"/>
        <v>2869.0905044080632</v>
      </c>
      <c r="R53" s="18">
        <f t="shared" si="53"/>
        <v>118000</v>
      </c>
      <c r="S53" s="18">
        <f t="shared" si="53"/>
        <v>179.88984034014425</v>
      </c>
      <c r="T53" s="47"/>
    </row>
    <row r="54" spans="1:20" ht="26.15" customHeight="1" x14ac:dyDescent="0.35">
      <c r="A54" s="67" t="s">
        <v>37</v>
      </c>
      <c r="B54" s="22"/>
      <c r="C54" s="23"/>
      <c r="D54" s="23"/>
      <c r="E54" s="23"/>
      <c r="F54" s="24">
        <f>F22+F26+F44+F50+F53</f>
        <v>422183744.26199996</v>
      </c>
      <c r="G54" s="24">
        <f>G22+G26+G44+G50+G53</f>
        <v>643614.96906352101</v>
      </c>
      <c r="H54" s="24"/>
      <c r="I54" s="24"/>
      <c r="J54" s="24"/>
      <c r="K54" s="24">
        <f>K22+K26+K44+K50+K53</f>
        <v>82540895.380799994</v>
      </c>
      <c r="L54" s="24">
        <f>L22+L26+L44+L50+L53</f>
        <v>125832.78382698866</v>
      </c>
      <c r="M54" s="24">
        <f t="shared" ref="M54:S54" si="54">M22+M26+M44+M50+M53</f>
        <v>6612048</v>
      </c>
      <c r="N54" s="24">
        <f t="shared" si="54"/>
        <v>48742801.490400001</v>
      </c>
      <c r="O54" s="24">
        <f t="shared" si="54"/>
        <v>27186045.8904</v>
      </c>
      <c r="P54" s="24">
        <f>P22+P26+P44+P50+P53</f>
        <v>86011520.5</v>
      </c>
      <c r="Q54" s="24">
        <f>Q22+Q26+Q44+Q50+Q53</f>
        <v>131123.71771320378</v>
      </c>
      <c r="R54" s="24">
        <f t="shared" si="54"/>
        <v>-3470625.1192000001</v>
      </c>
      <c r="S54" s="24">
        <f t="shared" si="54"/>
        <v>-5290.9338862151035</v>
      </c>
      <c r="T54" s="48"/>
    </row>
    <row r="55" spans="1:20" ht="28" customHeight="1" x14ac:dyDescent="0.35">
      <c r="A55" s="63" t="s">
        <v>99</v>
      </c>
      <c r="B55" s="15"/>
      <c r="C55" s="25"/>
      <c r="D55" s="25"/>
      <c r="E55" s="25"/>
      <c r="F55" s="16"/>
      <c r="G55" s="16"/>
      <c r="H55" s="25"/>
      <c r="I55" s="25"/>
      <c r="J55" s="25"/>
      <c r="K55" s="16"/>
      <c r="L55" s="16"/>
      <c r="M55" s="16"/>
      <c r="N55" s="16"/>
      <c r="O55" s="16"/>
      <c r="P55" s="16"/>
      <c r="Q55" s="16"/>
      <c r="R55" s="16"/>
      <c r="S55" s="16"/>
      <c r="T55" s="43"/>
    </row>
    <row r="56" spans="1:20" ht="28" customHeight="1" x14ac:dyDescent="0.35">
      <c r="A56" s="68" t="s">
        <v>153</v>
      </c>
      <c r="B56" s="15" t="s">
        <v>38</v>
      </c>
      <c r="C56" s="91">
        <v>1</v>
      </c>
      <c r="D56" s="16">
        <v>10000000</v>
      </c>
      <c r="E56" s="91">
        <f>D56/$A$3</f>
        <v>15244.901723741039</v>
      </c>
      <c r="F56" s="16">
        <f>C56*D56</f>
        <v>10000000</v>
      </c>
      <c r="G56" s="16">
        <f>+F56/655.957</f>
        <v>15244.901723741039</v>
      </c>
      <c r="H56" s="91">
        <v>0</v>
      </c>
      <c r="I56" s="16">
        <v>10000000</v>
      </c>
      <c r="J56" s="91">
        <f>I56/$A$3</f>
        <v>15244.901723741039</v>
      </c>
      <c r="K56" s="16">
        <f>H56*I56</f>
        <v>0</v>
      </c>
      <c r="L56" s="16">
        <f>+K56/655.957</f>
        <v>0</v>
      </c>
      <c r="M56" s="16"/>
      <c r="N56" s="16" t="s">
        <v>0</v>
      </c>
      <c r="O56" s="16"/>
      <c r="P56" s="16"/>
      <c r="Q56" s="16">
        <f t="shared" ref="Q56:Q70" si="55">+P56/655.957</f>
        <v>0</v>
      </c>
      <c r="R56" s="16">
        <f t="shared" ref="R56:R70" si="56">+K56-P56</f>
        <v>0</v>
      </c>
      <c r="S56" s="16">
        <f t="shared" ref="S56:S70" si="57">+R56/655.957</f>
        <v>0</v>
      </c>
      <c r="T56" s="43"/>
    </row>
    <row r="57" spans="1:20" ht="28" customHeight="1" x14ac:dyDescent="0.35">
      <c r="A57" s="68" t="s">
        <v>146</v>
      </c>
      <c r="B57" s="15" t="s">
        <v>38</v>
      </c>
      <c r="C57" s="91">
        <v>1</v>
      </c>
      <c r="D57" s="16">
        <f>3811.22543093526*655.957</f>
        <v>2500000.0000000005</v>
      </c>
      <c r="E57" s="91">
        <f>D57/$A$3</f>
        <v>3811.2254309352602</v>
      </c>
      <c r="F57" s="16">
        <f t="shared" ref="F57:F70" si="58">C57*D57</f>
        <v>2500000.0000000005</v>
      </c>
      <c r="G57" s="16">
        <f t="shared" ref="G57:G70" si="59">+F57/655.957</f>
        <v>3811.2254309352602</v>
      </c>
      <c r="H57" s="91">
        <v>0</v>
      </c>
      <c r="I57" s="16">
        <f>3811.22543093526*655.957</f>
        <v>2500000.0000000005</v>
      </c>
      <c r="J57" s="91">
        <f>I57/$A$3</f>
        <v>3811.2254309352602</v>
      </c>
      <c r="K57" s="16">
        <f t="shared" ref="K57:K60" si="60">H57*I57</f>
        <v>0</v>
      </c>
      <c r="L57" s="16">
        <f t="shared" ref="L57:L60" si="61">+K57/655.957</f>
        <v>0</v>
      </c>
      <c r="M57" s="16"/>
      <c r="N57" s="16" t="s">
        <v>0</v>
      </c>
      <c r="O57" s="16" t="s">
        <v>0</v>
      </c>
      <c r="P57" s="16"/>
      <c r="Q57" s="16">
        <f t="shared" si="55"/>
        <v>0</v>
      </c>
      <c r="R57" s="16">
        <f t="shared" si="56"/>
        <v>0</v>
      </c>
      <c r="S57" s="16">
        <f t="shared" si="57"/>
        <v>0</v>
      </c>
      <c r="T57" s="43"/>
    </row>
    <row r="58" spans="1:20" ht="28" customHeight="1" x14ac:dyDescent="0.35">
      <c r="A58" s="68" t="s">
        <v>147</v>
      </c>
      <c r="B58" s="15" t="s">
        <v>38</v>
      </c>
      <c r="C58" s="91">
        <v>1</v>
      </c>
      <c r="D58" s="16">
        <v>2500000</v>
      </c>
      <c r="E58" s="91">
        <f>D58/$A$3</f>
        <v>3811.2254309352597</v>
      </c>
      <c r="F58" s="16">
        <f t="shared" si="58"/>
        <v>2500000</v>
      </c>
      <c r="G58" s="16">
        <f t="shared" si="59"/>
        <v>3811.2254309352597</v>
      </c>
      <c r="H58" s="91">
        <v>1</v>
      </c>
      <c r="I58" s="16">
        <v>2500000</v>
      </c>
      <c r="J58" s="91">
        <f>I58/$A$3</f>
        <v>3811.2254309352597</v>
      </c>
      <c r="K58" s="16">
        <f t="shared" si="60"/>
        <v>2500000</v>
      </c>
      <c r="L58" s="16">
        <f t="shared" si="61"/>
        <v>3811.2254309352597</v>
      </c>
      <c r="M58" s="16"/>
      <c r="N58" s="16">
        <f t="shared" ref="N58:N64" si="62">+K58</f>
        <v>2500000</v>
      </c>
      <c r="O58" s="16"/>
      <c r="P58" s="16">
        <v>2500000</v>
      </c>
      <c r="Q58" s="16">
        <f t="shared" si="55"/>
        <v>3811.2254309352597</v>
      </c>
      <c r="R58" s="16">
        <f t="shared" si="56"/>
        <v>0</v>
      </c>
      <c r="S58" s="16">
        <f t="shared" si="57"/>
        <v>0</v>
      </c>
      <c r="T58" s="43">
        <f>+P58/K58</f>
        <v>1</v>
      </c>
    </row>
    <row r="59" spans="1:20" ht="28" customHeight="1" x14ac:dyDescent="0.35">
      <c r="A59" s="68" t="s">
        <v>156</v>
      </c>
      <c r="B59" s="15" t="s">
        <v>39</v>
      </c>
      <c r="C59" s="91">
        <v>1</v>
      </c>
      <c r="D59" s="16">
        <v>15000000</v>
      </c>
      <c r="E59" s="91">
        <f>D59/$A$3</f>
        <v>22867.352585611556</v>
      </c>
      <c r="F59" s="16">
        <f t="shared" si="58"/>
        <v>15000000</v>
      </c>
      <c r="G59" s="16">
        <f t="shared" si="59"/>
        <v>22867.352585611556</v>
      </c>
      <c r="H59" s="91">
        <v>0</v>
      </c>
      <c r="I59" s="16">
        <v>15000000</v>
      </c>
      <c r="J59" s="91">
        <f>I59/$A$3</f>
        <v>22867.352585611556</v>
      </c>
      <c r="K59" s="16">
        <f t="shared" si="60"/>
        <v>0</v>
      </c>
      <c r="L59" s="16">
        <f t="shared" si="61"/>
        <v>0</v>
      </c>
      <c r="M59" s="16"/>
      <c r="N59" s="16">
        <f t="shared" si="62"/>
        <v>0</v>
      </c>
      <c r="O59" s="16"/>
      <c r="P59" s="16">
        <v>0</v>
      </c>
      <c r="Q59" s="16">
        <f t="shared" si="55"/>
        <v>0</v>
      </c>
      <c r="R59" s="16">
        <f t="shared" si="56"/>
        <v>0</v>
      </c>
      <c r="S59" s="16">
        <f t="shared" si="57"/>
        <v>0</v>
      </c>
      <c r="T59" s="43"/>
    </row>
    <row r="60" spans="1:20" s="28" customFormat="1" ht="28" customHeight="1" x14ac:dyDescent="0.35">
      <c r="A60" s="69" t="s">
        <v>157</v>
      </c>
      <c r="B60" s="26" t="s">
        <v>41</v>
      </c>
      <c r="C60" s="27">
        <v>1</v>
      </c>
      <c r="D60" s="27">
        <v>5200000</v>
      </c>
      <c r="E60" s="27">
        <f>D60/$A$3</f>
        <v>7927.3488963453401</v>
      </c>
      <c r="F60" s="27">
        <f t="shared" si="58"/>
        <v>5200000</v>
      </c>
      <c r="G60" s="27">
        <f t="shared" si="59"/>
        <v>7927.3488963453401</v>
      </c>
      <c r="H60" s="27">
        <v>1</v>
      </c>
      <c r="I60" s="27">
        <v>5200000</v>
      </c>
      <c r="J60" s="27">
        <f>I60/$A$3</f>
        <v>7927.3488963453401</v>
      </c>
      <c r="K60" s="27">
        <f t="shared" si="60"/>
        <v>5200000</v>
      </c>
      <c r="L60" s="27">
        <f t="shared" si="61"/>
        <v>7927.3488963453401</v>
      </c>
      <c r="M60" s="27"/>
      <c r="N60" s="16">
        <f t="shared" si="62"/>
        <v>5200000</v>
      </c>
      <c r="O60" s="27"/>
      <c r="P60" s="27">
        <v>4830461</v>
      </c>
      <c r="Q60" s="16">
        <f t="shared" si="55"/>
        <v>7363.990322536386</v>
      </c>
      <c r="R60" s="16">
        <f t="shared" si="56"/>
        <v>369539</v>
      </c>
      <c r="S60" s="16">
        <f t="shared" si="57"/>
        <v>563.35857380895391</v>
      </c>
      <c r="T60" s="43">
        <f>+P60/K60</f>
        <v>0.92893480769230774</v>
      </c>
    </row>
    <row r="61" spans="1:20" ht="28" customHeight="1" x14ac:dyDescent="0.35">
      <c r="A61" s="68" t="s">
        <v>155</v>
      </c>
      <c r="B61" s="15"/>
      <c r="C61" s="91"/>
      <c r="D61" s="16"/>
      <c r="E61" s="91"/>
      <c r="F61" s="16"/>
      <c r="G61" s="16"/>
      <c r="H61" s="91"/>
      <c r="I61" s="16"/>
      <c r="J61" s="91"/>
      <c r="K61" s="16"/>
      <c r="L61" s="16"/>
      <c r="M61" s="16"/>
      <c r="N61" s="16">
        <f t="shared" si="62"/>
        <v>0</v>
      </c>
      <c r="O61" s="16"/>
      <c r="P61" s="16"/>
      <c r="Q61" s="16">
        <f t="shared" si="55"/>
        <v>0</v>
      </c>
      <c r="R61" s="16">
        <f t="shared" si="56"/>
        <v>0</v>
      </c>
      <c r="S61" s="16">
        <f t="shared" si="57"/>
        <v>0</v>
      </c>
      <c r="T61" s="43"/>
    </row>
    <row r="62" spans="1:20" ht="28" customHeight="1" x14ac:dyDescent="0.35">
      <c r="A62" s="68" t="s">
        <v>75</v>
      </c>
      <c r="B62" s="15" t="s">
        <v>38</v>
      </c>
      <c r="C62" s="91">
        <v>4</v>
      </c>
      <c r="D62" s="16">
        <v>1500000</v>
      </c>
      <c r="E62" s="91">
        <f t="shared" ref="E62:E70" si="63">D62/$A$3</f>
        <v>2286.7352585611557</v>
      </c>
      <c r="F62" s="16">
        <f t="shared" si="58"/>
        <v>6000000</v>
      </c>
      <c r="G62" s="16">
        <f t="shared" si="59"/>
        <v>9146.9410342446226</v>
      </c>
      <c r="H62" s="91">
        <v>1</v>
      </c>
      <c r="I62" s="16">
        <v>1500000</v>
      </c>
      <c r="J62" s="91">
        <f t="shared" ref="J62:J70" si="64">I62/$A$3</f>
        <v>2286.7352585611557</v>
      </c>
      <c r="K62" s="16">
        <f t="shared" ref="K62:K65" si="65">H62*I62</f>
        <v>1500000</v>
      </c>
      <c r="L62" s="16">
        <f t="shared" ref="L62:L70" si="66">+K62/655.957</f>
        <v>2286.7352585611557</v>
      </c>
      <c r="M62" s="16"/>
      <c r="N62" s="16">
        <f t="shared" si="62"/>
        <v>1500000</v>
      </c>
      <c r="O62" s="16"/>
      <c r="P62" s="16">
        <v>773200</v>
      </c>
      <c r="Q62" s="16">
        <f t="shared" si="55"/>
        <v>1178.7358012796572</v>
      </c>
      <c r="R62" s="16">
        <f t="shared" si="56"/>
        <v>726800</v>
      </c>
      <c r="S62" s="16">
        <f t="shared" si="57"/>
        <v>1107.9994572814987</v>
      </c>
      <c r="T62" s="43">
        <f>+P62/K62</f>
        <v>0.51546666666666663</v>
      </c>
    </row>
    <row r="63" spans="1:20" ht="28" customHeight="1" x14ac:dyDescent="0.35">
      <c r="A63" s="68" t="s">
        <v>76</v>
      </c>
      <c r="B63" s="15" t="s">
        <v>38</v>
      </c>
      <c r="C63" s="91">
        <v>4</v>
      </c>
      <c r="D63" s="16">
        <v>1800000</v>
      </c>
      <c r="E63" s="91">
        <f t="shared" si="63"/>
        <v>2744.0823102733871</v>
      </c>
      <c r="F63" s="16">
        <f t="shared" si="58"/>
        <v>7200000</v>
      </c>
      <c r="G63" s="16">
        <f t="shared" si="59"/>
        <v>10976.329241093548</v>
      </c>
      <c r="H63" s="91">
        <v>1</v>
      </c>
      <c r="I63" s="16">
        <v>1800000</v>
      </c>
      <c r="J63" s="91">
        <f t="shared" si="64"/>
        <v>2744.0823102733871</v>
      </c>
      <c r="K63" s="16">
        <f t="shared" si="65"/>
        <v>1800000</v>
      </c>
      <c r="L63" s="16">
        <f t="shared" si="66"/>
        <v>2744.0823102733871</v>
      </c>
      <c r="M63" s="16"/>
      <c r="N63" s="16">
        <f t="shared" si="62"/>
        <v>1800000</v>
      </c>
      <c r="O63" s="16"/>
      <c r="P63" s="16">
        <v>1068550</v>
      </c>
      <c r="Q63" s="16">
        <f t="shared" si="55"/>
        <v>1628.9939736903486</v>
      </c>
      <c r="R63" s="16">
        <f t="shared" si="56"/>
        <v>731450</v>
      </c>
      <c r="S63" s="16">
        <f t="shared" si="57"/>
        <v>1115.0883365830382</v>
      </c>
      <c r="T63" s="43">
        <f>+P63/K63</f>
        <v>0.59363888888888894</v>
      </c>
    </row>
    <row r="64" spans="1:20" ht="28" customHeight="1" x14ac:dyDescent="0.35">
      <c r="A64" s="68" t="s">
        <v>77</v>
      </c>
      <c r="B64" s="15" t="s">
        <v>38</v>
      </c>
      <c r="C64" s="91">
        <v>8</v>
      </c>
      <c r="D64" s="16">
        <v>1500000</v>
      </c>
      <c r="E64" s="91">
        <f t="shared" si="63"/>
        <v>2286.7352585611557</v>
      </c>
      <c r="F64" s="16">
        <f t="shared" si="58"/>
        <v>12000000</v>
      </c>
      <c r="G64" s="16">
        <f t="shared" si="59"/>
        <v>18293.882068489245</v>
      </c>
      <c r="H64" s="91">
        <v>2</v>
      </c>
      <c r="I64" s="16">
        <v>1500000</v>
      </c>
      <c r="J64" s="91">
        <f t="shared" si="64"/>
        <v>2286.7352585611557</v>
      </c>
      <c r="K64" s="16">
        <f t="shared" si="65"/>
        <v>3000000</v>
      </c>
      <c r="L64" s="16">
        <f t="shared" si="66"/>
        <v>4573.4705171223113</v>
      </c>
      <c r="M64" s="16"/>
      <c r="N64" s="16">
        <f t="shared" si="62"/>
        <v>3000000</v>
      </c>
      <c r="O64" s="16"/>
      <c r="P64" s="16">
        <v>1713360</v>
      </c>
      <c r="Q64" s="16">
        <f t="shared" si="55"/>
        <v>2612.0004817388945</v>
      </c>
      <c r="R64" s="16">
        <f t="shared" si="56"/>
        <v>1286640</v>
      </c>
      <c r="S64" s="16">
        <f t="shared" si="57"/>
        <v>1961.4700353834169</v>
      </c>
      <c r="T64" s="43">
        <f>+P64/K64</f>
        <v>0.57111999999999996</v>
      </c>
    </row>
    <row r="65" spans="1:20" ht="28" customHeight="1" x14ac:dyDescent="0.35">
      <c r="A65" s="68" t="s">
        <v>148</v>
      </c>
      <c r="B65" s="15" t="s">
        <v>40</v>
      </c>
      <c r="C65" s="91">
        <v>10</v>
      </c>
      <c r="D65" s="16">
        <v>2000000</v>
      </c>
      <c r="E65" s="91">
        <f t="shared" si="63"/>
        <v>3048.9803447482077</v>
      </c>
      <c r="F65" s="16">
        <f t="shared" si="58"/>
        <v>20000000</v>
      </c>
      <c r="G65" s="16">
        <f t="shared" si="59"/>
        <v>30489.803447482078</v>
      </c>
      <c r="H65" s="91">
        <v>2</v>
      </c>
      <c r="I65" s="16">
        <v>2000000</v>
      </c>
      <c r="J65" s="91">
        <f t="shared" si="64"/>
        <v>3048.9803447482077</v>
      </c>
      <c r="K65" s="16">
        <f t="shared" si="65"/>
        <v>4000000</v>
      </c>
      <c r="L65" s="16">
        <f t="shared" si="66"/>
        <v>6097.9606894964154</v>
      </c>
      <c r="M65" s="16">
        <f>+K65</f>
        <v>4000000</v>
      </c>
      <c r="N65" s="16">
        <v>0</v>
      </c>
      <c r="O65" s="16"/>
      <c r="P65" s="84">
        <v>3468097.1355599998</v>
      </c>
      <c r="Q65" s="16">
        <f t="shared" si="55"/>
        <v>5287.08</v>
      </c>
      <c r="R65" s="16">
        <f t="shared" si="56"/>
        <v>531902.86444000015</v>
      </c>
      <c r="S65" s="16">
        <f t="shared" si="57"/>
        <v>810.88068949641536</v>
      </c>
      <c r="T65" s="43">
        <f>+P65/K65</f>
        <v>0.86702428388999997</v>
      </c>
    </row>
    <row r="66" spans="1:20" ht="28" customHeight="1" x14ac:dyDescent="0.35">
      <c r="A66" s="68" t="s">
        <v>154</v>
      </c>
      <c r="B66" s="15" t="s">
        <v>39</v>
      </c>
      <c r="C66" s="91"/>
      <c r="D66" s="16"/>
      <c r="E66" s="91">
        <f t="shared" si="63"/>
        <v>0</v>
      </c>
      <c r="F66" s="16"/>
      <c r="G66" s="16">
        <f t="shared" si="59"/>
        <v>0</v>
      </c>
      <c r="H66" s="91"/>
      <c r="I66" s="16"/>
      <c r="J66" s="91">
        <f t="shared" si="64"/>
        <v>0</v>
      </c>
      <c r="K66" s="16"/>
      <c r="L66" s="16">
        <f t="shared" si="66"/>
        <v>0</v>
      </c>
      <c r="M66" s="16"/>
      <c r="N66" s="16">
        <f>+K66</f>
        <v>0</v>
      </c>
      <c r="O66" s="16"/>
      <c r="P66" s="16"/>
      <c r="Q66" s="16">
        <f t="shared" si="55"/>
        <v>0</v>
      </c>
      <c r="R66" s="16">
        <f t="shared" si="56"/>
        <v>0</v>
      </c>
      <c r="S66" s="16">
        <f t="shared" si="57"/>
        <v>0</v>
      </c>
      <c r="T66" s="43"/>
    </row>
    <row r="67" spans="1:20" ht="28" customHeight="1" x14ac:dyDescent="0.35">
      <c r="A67" s="68" t="s">
        <v>149</v>
      </c>
      <c r="B67" s="15" t="s">
        <v>39</v>
      </c>
      <c r="C67" s="91">
        <v>1</v>
      </c>
      <c r="D67" s="16">
        <v>4000000</v>
      </c>
      <c r="E67" s="91">
        <f t="shared" si="63"/>
        <v>6097.9606894964154</v>
      </c>
      <c r="F67" s="16">
        <f t="shared" ref="F67:F68" si="67">C67*D67</f>
        <v>4000000</v>
      </c>
      <c r="G67" s="16">
        <f t="shared" si="59"/>
        <v>6097.9606894964154</v>
      </c>
      <c r="H67" s="91">
        <v>1</v>
      </c>
      <c r="I67" s="16">
        <v>4000000</v>
      </c>
      <c r="J67" s="91">
        <f t="shared" si="64"/>
        <v>6097.9606894964154</v>
      </c>
      <c r="K67" s="16">
        <f t="shared" ref="K67:K70" si="68">H67*I67</f>
        <v>4000000</v>
      </c>
      <c r="L67" s="16">
        <f t="shared" si="66"/>
        <v>6097.9606894964154</v>
      </c>
      <c r="M67" s="16"/>
      <c r="N67" s="16">
        <f>+K67</f>
        <v>4000000</v>
      </c>
      <c r="O67" s="16"/>
      <c r="P67" s="16"/>
      <c r="Q67" s="16">
        <f t="shared" si="55"/>
        <v>0</v>
      </c>
      <c r="R67" s="16">
        <f t="shared" si="56"/>
        <v>4000000</v>
      </c>
      <c r="S67" s="16">
        <f t="shared" si="57"/>
        <v>6097.9606894964154</v>
      </c>
      <c r="T67" s="43">
        <f>+P67/K67</f>
        <v>0</v>
      </c>
    </row>
    <row r="68" spans="1:20" ht="28" customHeight="1" x14ac:dyDescent="0.35">
      <c r="A68" s="68" t="s">
        <v>150</v>
      </c>
      <c r="B68" s="15" t="s">
        <v>39</v>
      </c>
      <c r="C68" s="91">
        <v>1</v>
      </c>
      <c r="D68" s="16">
        <v>10000000</v>
      </c>
      <c r="E68" s="91">
        <f t="shared" si="63"/>
        <v>15244.901723741039</v>
      </c>
      <c r="F68" s="16">
        <f t="shared" si="67"/>
        <v>10000000</v>
      </c>
      <c r="G68" s="16">
        <f t="shared" si="59"/>
        <v>15244.901723741039</v>
      </c>
      <c r="H68" s="91">
        <v>0</v>
      </c>
      <c r="I68" s="16">
        <v>10000000</v>
      </c>
      <c r="J68" s="91">
        <f t="shared" si="64"/>
        <v>15244.901723741039</v>
      </c>
      <c r="K68" s="16">
        <f t="shared" si="68"/>
        <v>0</v>
      </c>
      <c r="L68" s="16">
        <f t="shared" si="66"/>
        <v>0</v>
      </c>
      <c r="M68" s="16"/>
      <c r="N68" s="16">
        <f>+K68</f>
        <v>0</v>
      </c>
      <c r="O68" s="16"/>
      <c r="P68" s="16"/>
      <c r="Q68" s="16">
        <f t="shared" si="55"/>
        <v>0</v>
      </c>
      <c r="R68" s="16">
        <f t="shared" si="56"/>
        <v>0</v>
      </c>
      <c r="S68" s="16">
        <f t="shared" si="57"/>
        <v>0</v>
      </c>
      <c r="T68" s="43"/>
    </row>
    <row r="69" spans="1:20" ht="28" customHeight="1" x14ac:dyDescent="0.35">
      <c r="A69" s="68" t="s">
        <v>151</v>
      </c>
      <c r="B69" s="15" t="s">
        <v>41</v>
      </c>
      <c r="C69" s="91">
        <v>1</v>
      </c>
      <c r="D69" s="16">
        <v>7000000</v>
      </c>
      <c r="E69" s="91">
        <f t="shared" si="63"/>
        <v>10671.431206618727</v>
      </c>
      <c r="F69" s="16">
        <f t="shared" si="58"/>
        <v>7000000</v>
      </c>
      <c r="G69" s="16">
        <f t="shared" si="59"/>
        <v>10671.431206618727</v>
      </c>
      <c r="H69" s="91">
        <v>0.5</v>
      </c>
      <c r="I69" s="16">
        <v>7000000</v>
      </c>
      <c r="J69" s="91">
        <f t="shared" si="64"/>
        <v>10671.431206618727</v>
      </c>
      <c r="K69" s="16">
        <f t="shared" si="68"/>
        <v>3500000</v>
      </c>
      <c r="L69" s="16">
        <f t="shared" si="66"/>
        <v>5335.7156033093634</v>
      </c>
      <c r="M69" s="16"/>
      <c r="N69" s="16">
        <f>+K69</f>
        <v>3500000</v>
      </c>
      <c r="O69" s="16"/>
      <c r="P69" s="16">
        <v>2400000</v>
      </c>
      <c r="Q69" s="16">
        <f t="shared" si="55"/>
        <v>3658.776413697849</v>
      </c>
      <c r="R69" s="16">
        <f t="shared" si="56"/>
        <v>1100000</v>
      </c>
      <c r="S69" s="16">
        <f t="shared" si="57"/>
        <v>1676.9391896115142</v>
      </c>
      <c r="T69" s="43">
        <f>SUM(T68)</f>
        <v>0</v>
      </c>
    </row>
    <row r="70" spans="1:20" ht="28" customHeight="1" x14ac:dyDescent="0.35">
      <c r="A70" s="68" t="s">
        <v>152</v>
      </c>
      <c r="B70" s="15" t="s">
        <v>35</v>
      </c>
      <c r="C70" s="91">
        <v>5</v>
      </c>
      <c r="D70" s="91">
        <v>3000000</v>
      </c>
      <c r="E70" s="91">
        <f t="shared" si="63"/>
        <v>4573.4705171223113</v>
      </c>
      <c r="F70" s="16">
        <f t="shared" si="58"/>
        <v>15000000</v>
      </c>
      <c r="G70" s="16">
        <f t="shared" si="59"/>
        <v>22867.352585611556</v>
      </c>
      <c r="H70" s="91">
        <v>1</v>
      </c>
      <c r="I70" s="91">
        <v>3000000</v>
      </c>
      <c r="J70" s="91">
        <f t="shared" si="64"/>
        <v>4573.4705171223113</v>
      </c>
      <c r="K70" s="16">
        <f t="shared" si="68"/>
        <v>3000000</v>
      </c>
      <c r="L70" s="16">
        <f t="shared" si="66"/>
        <v>4573.4705171223113</v>
      </c>
      <c r="M70" s="16"/>
      <c r="N70" s="16">
        <f>+K70</f>
        <v>3000000</v>
      </c>
      <c r="O70" s="16"/>
      <c r="P70" s="16">
        <v>2700000</v>
      </c>
      <c r="Q70" s="16">
        <f t="shared" si="55"/>
        <v>4116.1234654100799</v>
      </c>
      <c r="R70" s="16">
        <f t="shared" si="56"/>
        <v>300000</v>
      </c>
      <c r="S70" s="16">
        <f t="shared" si="57"/>
        <v>457.34705171223112</v>
      </c>
      <c r="T70" s="43">
        <f>SUM(T69)</f>
        <v>0</v>
      </c>
    </row>
    <row r="71" spans="1:20" ht="28" customHeight="1" collapsed="1" x14ac:dyDescent="0.35">
      <c r="A71" s="70" t="s">
        <v>42</v>
      </c>
      <c r="B71" s="90"/>
      <c r="C71" s="17"/>
      <c r="D71" s="17"/>
      <c r="E71" s="17"/>
      <c r="F71" s="18">
        <f>SUM(F56:F70)</f>
        <v>116400000</v>
      </c>
      <c r="G71" s="18">
        <f>SUM(G56:G70)</f>
        <v>177450.65606434568</v>
      </c>
      <c r="H71" s="18">
        <f t="shared" ref="H71:S71" si="69">SUM(H56:H70)</f>
        <v>10.5</v>
      </c>
      <c r="I71" s="18">
        <f t="shared" si="69"/>
        <v>66000000</v>
      </c>
      <c r="J71" s="18">
        <f t="shared" si="69"/>
        <v>100616.35137669087</v>
      </c>
      <c r="K71" s="18">
        <f>SUM(K56:K70)</f>
        <v>28500000</v>
      </c>
      <c r="L71" s="18">
        <f t="shared" si="69"/>
        <v>43447.96991266196</v>
      </c>
      <c r="M71" s="18">
        <f t="shared" si="69"/>
        <v>4000000</v>
      </c>
      <c r="N71" s="18">
        <f t="shared" si="69"/>
        <v>24500000</v>
      </c>
      <c r="O71" s="18">
        <f t="shared" si="69"/>
        <v>0</v>
      </c>
      <c r="P71" s="18">
        <f t="shared" si="69"/>
        <v>19453668.135559998</v>
      </c>
      <c r="Q71" s="18">
        <f t="shared" si="69"/>
        <v>29656.925889288475</v>
      </c>
      <c r="R71" s="18">
        <f t="shared" si="69"/>
        <v>9046331.8644399997</v>
      </c>
      <c r="S71" s="18">
        <f t="shared" si="69"/>
        <v>13791.044023373484</v>
      </c>
      <c r="T71" s="47"/>
    </row>
    <row r="72" spans="1:20" ht="27.5" customHeight="1" x14ac:dyDescent="0.35">
      <c r="A72" s="58" t="s">
        <v>70</v>
      </c>
      <c r="B72" s="15"/>
      <c r="C72" s="91"/>
      <c r="D72" s="91"/>
      <c r="E72" s="91"/>
      <c r="F72" s="16"/>
      <c r="G72" s="16"/>
      <c r="H72" s="91"/>
      <c r="I72" s="91"/>
      <c r="J72" s="91"/>
      <c r="K72" s="16"/>
      <c r="L72" s="16"/>
      <c r="M72" s="16"/>
      <c r="N72" s="16"/>
      <c r="O72" s="16"/>
      <c r="P72" s="16"/>
      <c r="Q72" s="84"/>
      <c r="R72" s="84"/>
      <c r="S72" s="84"/>
      <c r="T72" s="88"/>
    </row>
    <row r="73" spans="1:20" s="31" customFormat="1" ht="27.5" customHeight="1" x14ac:dyDescent="0.35">
      <c r="A73" s="58" t="s">
        <v>43</v>
      </c>
      <c r="B73" s="92"/>
      <c r="C73" s="30"/>
      <c r="D73" s="30"/>
      <c r="E73" s="30"/>
      <c r="F73" s="30">
        <f>SUM(F74:F76)</f>
        <v>50000000</v>
      </c>
      <c r="G73" s="30">
        <f>SUM(G74:G76)</f>
        <v>76224.508618705178</v>
      </c>
      <c r="H73" s="30">
        <f t="shared" ref="H73:S73" si="70">SUM(H74:H76)</f>
        <v>3</v>
      </c>
      <c r="I73" s="30">
        <f t="shared" si="70"/>
        <v>44000000</v>
      </c>
      <c r="J73" s="30">
        <f t="shared" si="70"/>
        <v>67077.567584460572</v>
      </c>
      <c r="K73" s="30">
        <f t="shared" si="70"/>
        <v>42000000</v>
      </c>
      <c r="L73" s="30">
        <f t="shared" si="70"/>
        <v>64028.58723971236</v>
      </c>
      <c r="M73" s="30">
        <f t="shared" si="70"/>
        <v>0</v>
      </c>
      <c r="N73" s="30">
        <f t="shared" si="70"/>
        <v>30000000</v>
      </c>
      <c r="O73" s="30">
        <f t="shared" si="70"/>
        <v>12000000</v>
      </c>
      <c r="P73" s="30">
        <f t="shared" si="70"/>
        <v>40462030</v>
      </c>
      <c r="Q73" s="30">
        <f t="shared" si="70"/>
        <v>61683.967089306156</v>
      </c>
      <c r="R73" s="30">
        <f t="shared" si="70"/>
        <v>1537970</v>
      </c>
      <c r="S73" s="30">
        <f t="shared" si="70"/>
        <v>2344.6201504062001</v>
      </c>
      <c r="T73" s="43">
        <f t="shared" ref="T73:T81" si="71">+P73/K73</f>
        <v>0.96338166666666669</v>
      </c>
    </row>
    <row r="74" spans="1:20" s="35" customFormat="1" ht="27.5" customHeight="1" x14ac:dyDescent="0.35">
      <c r="A74" s="71" t="s">
        <v>43</v>
      </c>
      <c r="B74" s="26" t="s">
        <v>41</v>
      </c>
      <c r="C74" s="33">
        <v>1</v>
      </c>
      <c r="D74" s="33">
        <v>8000000</v>
      </c>
      <c r="E74" s="33">
        <f>D74/$A$3</f>
        <v>12195.921378992831</v>
      </c>
      <c r="F74" s="33">
        <f t="shared" ref="F74:F94" si="72">C74*D74</f>
        <v>8000000</v>
      </c>
      <c r="G74" s="33">
        <f t="shared" ref="G74:G94" si="73">+F74/655.957</f>
        <v>12195.921378992831</v>
      </c>
      <c r="H74" s="33">
        <v>0</v>
      </c>
      <c r="I74" s="33">
        <v>8000000</v>
      </c>
      <c r="J74" s="33">
        <f>I74/$A$3</f>
        <v>12195.921378992831</v>
      </c>
      <c r="K74" s="33">
        <f t="shared" ref="K74" si="74">H74*I74</f>
        <v>0</v>
      </c>
      <c r="L74" s="33">
        <f t="shared" ref="L74:L75" si="75">+K74/655.957</f>
        <v>0</v>
      </c>
      <c r="M74" s="32"/>
      <c r="N74" s="32"/>
      <c r="O74" s="34"/>
      <c r="P74" s="33"/>
      <c r="Q74" s="16">
        <f t="shared" ref="Q74:Q93" si="76">+P74/655.957</f>
        <v>0</v>
      </c>
      <c r="R74" s="16">
        <f>+K74-P74</f>
        <v>0</v>
      </c>
      <c r="S74" s="16">
        <f t="shared" ref="S74:S93" si="77">+R74/655.957</f>
        <v>0</v>
      </c>
      <c r="T74" s="43" t="e">
        <f t="shared" si="71"/>
        <v>#DIV/0!</v>
      </c>
    </row>
    <row r="75" spans="1:20" s="36" customFormat="1" ht="27.5" customHeight="1" x14ac:dyDescent="0.35">
      <c r="A75" s="71" t="s">
        <v>78</v>
      </c>
      <c r="B75" s="26" t="s">
        <v>41</v>
      </c>
      <c r="C75" s="33">
        <v>2</v>
      </c>
      <c r="D75" s="33">
        <v>6000000</v>
      </c>
      <c r="E75" s="33">
        <f>D75/$A$3</f>
        <v>9146.9410342446226</v>
      </c>
      <c r="F75" s="33">
        <f t="shared" si="72"/>
        <v>12000000</v>
      </c>
      <c r="G75" s="33">
        <f t="shared" si="73"/>
        <v>18293.882068489245</v>
      </c>
      <c r="H75" s="33">
        <v>2</v>
      </c>
      <c r="I75" s="33">
        <v>6000000</v>
      </c>
      <c r="J75" s="33">
        <f>I75/$A$3</f>
        <v>9146.9410342446226</v>
      </c>
      <c r="K75" s="33">
        <f>H75*I75</f>
        <v>12000000</v>
      </c>
      <c r="L75" s="33">
        <f t="shared" si="75"/>
        <v>18293.882068489245</v>
      </c>
      <c r="M75" s="34"/>
      <c r="N75" s="34"/>
      <c r="O75" s="34">
        <f>+K75</f>
        <v>12000000</v>
      </c>
      <c r="P75" s="33">
        <v>8537280</v>
      </c>
      <c r="Q75" s="16">
        <f t="shared" si="76"/>
        <v>13014.999458805989</v>
      </c>
      <c r="R75" s="16">
        <f>+K75-P75</f>
        <v>3462720</v>
      </c>
      <c r="S75" s="16">
        <f t="shared" si="77"/>
        <v>5278.8826096832563</v>
      </c>
      <c r="T75" s="43">
        <f t="shared" si="71"/>
        <v>0.71143999999999996</v>
      </c>
    </row>
    <row r="76" spans="1:20" s="36" customFormat="1" ht="27.5" customHeight="1" x14ac:dyDescent="0.35">
      <c r="A76" s="71" t="s">
        <v>144</v>
      </c>
      <c r="B76" s="26" t="s">
        <v>41</v>
      </c>
      <c r="C76" s="33">
        <v>1</v>
      </c>
      <c r="D76" s="33">
        <v>30000000</v>
      </c>
      <c r="E76" s="33">
        <f>D76/$A$3</f>
        <v>45734.705171223111</v>
      </c>
      <c r="F76" s="33">
        <f t="shared" si="72"/>
        <v>30000000</v>
      </c>
      <c r="G76" s="33">
        <f>+F76/655.957</f>
        <v>45734.705171223111</v>
      </c>
      <c r="H76" s="33">
        <v>1</v>
      </c>
      <c r="I76" s="33">
        <v>30000000</v>
      </c>
      <c r="J76" s="33">
        <f>I76/$A$3</f>
        <v>45734.705171223111</v>
      </c>
      <c r="K76" s="33">
        <f>H76*I76</f>
        <v>30000000</v>
      </c>
      <c r="L76" s="33">
        <f>+K76/655.957</f>
        <v>45734.705171223111</v>
      </c>
      <c r="M76" s="34"/>
      <c r="N76" s="34">
        <f>+K76</f>
        <v>30000000</v>
      </c>
      <c r="O76" s="34"/>
      <c r="P76" s="33">
        <v>31924750</v>
      </c>
      <c r="Q76" s="16">
        <f t="shared" si="76"/>
        <v>48668.96763050017</v>
      </c>
      <c r="R76" s="16">
        <f>+K76-P76</f>
        <v>-1924750</v>
      </c>
      <c r="S76" s="16">
        <f t="shared" si="77"/>
        <v>-2934.2624592770562</v>
      </c>
      <c r="T76" s="43">
        <f t="shared" si="71"/>
        <v>1.0641583333333333</v>
      </c>
    </row>
    <row r="77" spans="1:20" s="31" customFormat="1" ht="27.5" customHeight="1" collapsed="1" x14ac:dyDescent="0.35">
      <c r="A77" s="58" t="s">
        <v>87</v>
      </c>
      <c r="B77" s="92"/>
      <c r="C77" s="30"/>
      <c r="D77" s="30" t="s">
        <v>0</v>
      </c>
      <c r="E77" s="30"/>
      <c r="F77" s="30">
        <f>SUM(F78:F79)</f>
        <v>13530590</v>
      </c>
      <c r="G77" s="30">
        <f>SUM(G78:G79)</f>
        <v>20627.251481423325</v>
      </c>
      <c r="H77" s="30">
        <f t="shared" ref="H77:S77" si="78">SUM(H78:H79)</f>
        <v>1</v>
      </c>
      <c r="I77" s="30">
        <f t="shared" si="78"/>
        <v>13530590</v>
      </c>
      <c r="J77" s="30">
        <f t="shared" si="78"/>
        <v>20627.251481423325</v>
      </c>
      <c r="K77" s="30">
        <f t="shared" si="78"/>
        <v>4000000</v>
      </c>
      <c r="L77" s="30">
        <f t="shared" si="78"/>
        <v>6097.9606894964154</v>
      </c>
      <c r="M77" s="30">
        <f t="shared" si="78"/>
        <v>0</v>
      </c>
      <c r="N77" s="30">
        <f t="shared" si="78"/>
        <v>4000000</v>
      </c>
      <c r="O77" s="30">
        <f t="shared" si="78"/>
        <v>0</v>
      </c>
      <c r="P77" s="30">
        <f t="shared" si="78"/>
        <v>0</v>
      </c>
      <c r="Q77" s="30">
        <f t="shared" si="78"/>
        <v>0</v>
      </c>
      <c r="R77" s="30">
        <f t="shared" si="78"/>
        <v>4000000</v>
      </c>
      <c r="S77" s="30">
        <f t="shared" si="78"/>
        <v>6097.9606894964154</v>
      </c>
      <c r="T77" s="43">
        <f t="shared" si="71"/>
        <v>0</v>
      </c>
    </row>
    <row r="78" spans="1:20" s="35" customFormat="1" ht="27.5" customHeight="1" x14ac:dyDescent="0.35">
      <c r="A78" s="71" t="s">
        <v>87</v>
      </c>
      <c r="B78" s="33" t="s">
        <v>41</v>
      </c>
      <c r="C78" s="33">
        <v>1</v>
      </c>
      <c r="D78" s="33">
        <v>9530590</v>
      </c>
      <c r="E78" s="33">
        <f>D78/$A$3</f>
        <v>14529.290791926909</v>
      </c>
      <c r="F78" s="33">
        <f t="shared" ref="F78" si="79">+E78*655.957</f>
        <v>9530590</v>
      </c>
      <c r="G78" s="33">
        <f>+F78/655.957</f>
        <v>14529.290791926909</v>
      </c>
      <c r="H78" s="33">
        <v>0</v>
      </c>
      <c r="I78" s="33">
        <v>9530590</v>
      </c>
      <c r="J78" s="33">
        <f>I78/$A$3</f>
        <v>14529.290791926909</v>
      </c>
      <c r="K78" s="33">
        <f>H78*I78</f>
        <v>0</v>
      </c>
      <c r="L78" s="33">
        <f>+K78/655.957</f>
        <v>0</v>
      </c>
      <c r="M78" s="32"/>
      <c r="N78" s="33"/>
      <c r="O78" s="32"/>
      <c r="P78" s="33"/>
      <c r="Q78" s="16">
        <f t="shared" si="76"/>
        <v>0</v>
      </c>
      <c r="R78" s="16">
        <f>+K78-P78</f>
        <v>0</v>
      </c>
      <c r="S78" s="16">
        <f t="shared" si="77"/>
        <v>0</v>
      </c>
      <c r="T78" s="43" t="e">
        <f t="shared" si="71"/>
        <v>#DIV/0!</v>
      </c>
    </row>
    <row r="79" spans="1:20" s="37" customFormat="1" ht="27.5" customHeight="1" x14ac:dyDescent="0.35">
      <c r="A79" s="71" t="s">
        <v>80</v>
      </c>
      <c r="B79" s="33" t="s">
        <v>41</v>
      </c>
      <c r="C79" s="33">
        <v>1</v>
      </c>
      <c r="D79" s="33">
        <v>4000000</v>
      </c>
      <c r="E79" s="33">
        <f>D79/$A$3</f>
        <v>6097.9606894964154</v>
      </c>
      <c r="F79" s="33">
        <f t="shared" si="72"/>
        <v>4000000</v>
      </c>
      <c r="G79" s="33">
        <f>+F79/655.957</f>
        <v>6097.9606894964154</v>
      </c>
      <c r="H79" s="33">
        <v>1</v>
      </c>
      <c r="I79" s="33">
        <v>4000000</v>
      </c>
      <c r="J79" s="33">
        <f>I79/$A$3</f>
        <v>6097.9606894964154</v>
      </c>
      <c r="K79" s="33">
        <f t="shared" ref="K79:K80" si="80">H79*I79</f>
        <v>4000000</v>
      </c>
      <c r="L79" s="33">
        <f>+K79/655.957</f>
        <v>6097.9606894964154</v>
      </c>
      <c r="M79" s="33"/>
      <c r="N79" s="33">
        <f>+K79</f>
        <v>4000000</v>
      </c>
      <c r="O79" s="33"/>
      <c r="P79" s="33"/>
      <c r="Q79" s="16">
        <f t="shared" si="76"/>
        <v>0</v>
      </c>
      <c r="R79" s="16">
        <f>+K79-P79</f>
        <v>4000000</v>
      </c>
      <c r="S79" s="16">
        <f t="shared" si="77"/>
        <v>6097.9606894964154</v>
      </c>
      <c r="T79" s="43">
        <f t="shared" si="71"/>
        <v>0</v>
      </c>
    </row>
    <row r="80" spans="1:20" s="31" customFormat="1" ht="27.5" customHeight="1" collapsed="1" x14ac:dyDescent="0.35">
      <c r="A80" s="58" t="s">
        <v>106</v>
      </c>
      <c r="B80" s="92" t="s">
        <v>41</v>
      </c>
      <c r="C80" s="30">
        <v>1</v>
      </c>
      <c r="D80" s="30">
        <v>17200000</v>
      </c>
      <c r="E80" s="30">
        <f>D80/$A$3</f>
        <v>26221.230964834587</v>
      </c>
      <c r="F80" s="30">
        <f>C80*D80</f>
        <v>17200000</v>
      </c>
      <c r="G80" s="30">
        <f t="shared" si="73"/>
        <v>26221.230964834587</v>
      </c>
      <c r="H80" s="30">
        <v>0</v>
      </c>
      <c r="I80" s="30">
        <v>17200000</v>
      </c>
      <c r="J80" s="30">
        <f>I80/$A$3</f>
        <v>26221.230964834587</v>
      </c>
      <c r="K80" s="30">
        <f t="shared" si="80"/>
        <v>0</v>
      </c>
      <c r="L80" s="30">
        <f t="shared" ref="L80" si="81">+K80/655.957</f>
        <v>0</v>
      </c>
      <c r="M80" s="30">
        <v>0</v>
      </c>
      <c r="N80" s="30"/>
      <c r="O80" s="30"/>
      <c r="P80" s="30"/>
      <c r="Q80" s="13">
        <f t="shared" si="76"/>
        <v>0</v>
      </c>
      <c r="R80" s="13">
        <f>+K80-P80</f>
        <v>0</v>
      </c>
      <c r="S80" s="13">
        <f t="shared" si="77"/>
        <v>0</v>
      </c>
      <c r="T80" s="46" t="e">
        <f t="shared" si="71"/>
        <v>#DIV/0!</v>
      </c>
    </row>
    <row r="81" spans="1:20" s="31" customFormat="1" ht="27.5" customHeight="1" x14ac:dyDescent="0.35">
      <c r="A81" s="58" t="s">
        <v>85</v>
      </c>
      <c r="B81" s="92" t="s">
        <v>41</v>
      </c>
      <c r="C81" s="30">
        <v>1</v>
      </c>
      <c r="D81" s="30">
        <v>6000000</v>
      </c>
      <c r="E81" s="30">
        <f>D81/$A$3</f>
        <v>9146.9410342446226</v>
      </c>
      <c r="F81" s="30">
        <f>C81*D81</f>
        <v>6000000</v>
      </c>
      <c r="G81" s="30">
        <f>+F81/655.957</f>
        <v>9146.9410342446226</v>
      </c>
      <c r="H81" s="30">
        <v>0</v>
      </c>
      <c r="I81" s="30">
        <v>6000000</v>
      </c>
      <c r="J81" s="30">
        <f>I81/$A$3</f>
        <v>9146.9410342446226</v>
      </c>
      <c r="K81" s="30">
        <f>H81*I81</f>
        <v>0</v>
      </c>
      <c r="L81" s="30">
        <f>+K81/655.957</f>
        <v>0</v>
      </c>
      <c r="M81" s="30"/>
      <c r="N81" s="30"/>
      <c r="O81" s="30"/>
      <c r="P81" s="30">
        <v>1352583</v>
      </c>
      <c r="Q81" s="13">
        <f t="shared" si="76"/>
        <v>2061.9994908202825</v>
      </c>
      <c r="R81" s="13">
        <f>+K81-P81</f>
        <v>-1352583</v>
      </c>
      <c r="S81" s="13">
        <f t="shared" si="77"/>
        <v>-2061.9994908202825</v>
      </c>
      <c r="T81" s="46" t="e">
        <f t="shared" si="71"/>
        <v>#DIV/0!</v>
      </c>
    </row>
    <row r="82" spans="1:20" s="31" customFormat="1" ht="27.5" customHeight="1" x14ac:dyDescent="0.35">
      <c r="A82" s="58" t="s">
        <v>110</v>
      </c>
      <c r="B82" s="92"/>
      <c r="C82" s="30"/>
      <c r="D82" s="30"/>
      <c r="E82" s="30"/>
      <c r="F82" s="30">
        <f>SUM(F83:F89)</f>
        <v>213080000</v>
      </c>
      <c r="G82" s="30">
        <f>SUM(G83:G89)</f>
        <v>324838.36592947401</v>
      </c>
      <c r="H82" s="30">
        <f t="shared" ref="H82:S82" si="82">SUM(H83:H89)</f>
        <v>46</v>
      </c>
      <c r="I82" s="30">
        <f t="shared" si="82"/>
        <v>29738965.517241381</v>
      </c>
      <c r="J82" s="30">
        <f t="shared" si="82"/>
        <v>45336.760667606839</v>
      </c>
      <c r="K82" s="30">
        <f t="shared" si="82"/>
        <v>133040000</v>
      </c>
      <c r="L82" s="30">
        <f t="shared" si="82"/>
        <v>202818.17253265076</v>
      </c>
      <c r="M82" s="30">
        <f t="shared" si="82"/>
        <v>0</v>
      </c>
      <c r="N82" s="30">
        <f t="shared" si="82"/>
        <v>133040000</v>
      </c>
      <c r="O82" s="30">
        <f t="shared" si="82"/>
        <v>0</v>
      </c>
      <c r="P82" s="30">
        <f t="shared" si="82"/>
        <v>117285542</v>
      </c>
      <c r="Q82" s="30">
        <f t="shared" si="82"/>
        <v>178800.65614057021</v>
      </c>
      <c r="R82" s="30">
        <f t="shared" si="82"/>
        <v>15754458</v>
      </c>
      <c r="S82" s="30">
        <f t="shared" si="82"/>
        <v>24017.516392080579</v>
      </c>
      <c r="T82" s="43"/>
    </row>
    <row r="83" spans="1:20" s="36" customFormat="1" ht="27.5" customHeight="1" x14ac:dyDescent="0.35">
      <c r="A83" s="71" t="s">
        <v>111</v>
      </c>
      <c r="B83" s="26" t="s">
        <v>41</v>
      </c>
      <c r="C83" s="34">
        <v>1</v>
      </c>
      <c r="D83" s="34">
        <v>500000</v>
      </c>
      <c r="E83" s="34">
        <f t="shared" ref="E83:E89" si="83">D83/$A$3</f>
        <v>762.24508618705192</v>
      </c>
      <c r="F83" s="34">
        <f t="shared" si="72"/>
        <v>500000</v>
      </c>
      <c r="G83" s="34">
        <f t="shared" si="73"/>
        <v>762.24508618705192</v>
      </c>
      <c r="H83" s="34">
        <v>1</v>
      </c>
      <c r="I83" s="34">
        <v>500000</v>
      </c>
      <c r="J83" s="34">
        <f t="shared" ref="J83:J89" si="84">I83/$A$3</f>
        <v>762.24508618705192</v>
      </c>
      <c r="K83" s="34">
        <f t="shared" ref="K83:K89" si="85">H83*I83</f>
        <v>500000</v>
      </c>
      <c r="L83" s="34">
        <f t="shared" ref="L83:L89" si="86">+K83/655.957</f>
        <v>762.24508618705192</v>
      </c>
      <c r="M83" s="34"/>
      <c r="N83" s="34">
        <f>+K83</f>
        <v>500000</v>
      </c>
      <c r="O83" s="34"/>
      <c r="P83" s="34">
        <v>169000</v>
      </c>
      <c r="Q83" s="16">
        <f t="shared" si="76"/>
        <v>257.63883913122356</v>
      </c>
      <c r="R83" s="16">
        <f t="shared" ref="R83:R89" si="87">+K83-P83</f>
        <v>331000</v>
      </c>
      <c r="S83" s="16">
        <f t="shared" si="77"/>
        <v>504.60624705582836</v>
      </c>
      <c r="T83" s="43">
        <f t="shared" ref="T83:T89" si="88">+P83/K83</f>
        <v>0.33800000000000002</v>
      </c>
    </row>
    <row r="84" spans="1:20" s="36" customFormat="1" ht="27.5" customHeight="1" x14ac:dyDescent="0.35">
      <c r="A84" s="71" t="s">
        <v>112</v>
      </c>
      <c r="B84" s="26" t="s">
        <v>41</v>
      </c>
      <c r="C84" s="34">
        <v>29</v>
      </c>
      <c r="D84" s="34">
        <f>31000000/29</f>
        <v>1068965.5172413792</v>
      </c>
      <c r="E84" s="34">
        <f t="shared" si="83"/>
        <v>1629.6274256412833</v>
      </c>
      <c r="F84" s="34">
        <f t="shared" si="72"/>
        <v>31000000</v>
      </c>
      <c r="G84" s="34">
        <f t="shared" si="73"/>
        <v>47259.195343597217</v>
      </c>
      <c r="H84" s="34">
        <v>29</v>
      </c>
      <c r="I84" s="34">
        <f>31000000/29</f>
        <v>1068965.5172413792</v>
      </c>
      <c r="J84" s="34">
        <f t="shared" si="84"/>
        <v>1629.6274256412833</v>
      </c>
      <c r="K84" s="34">
        <f t="shared" si="85"/>
        <v>31000000</v>
      </c>
      <c r="L84" s="34">
        <f t="shared" si="86"/>
        <v>47259.195343597217</v>
      </c>
      <c r="M84" s="34"/>
      <c r="N84" s="34">
        <f t="shared" ref="N84:N89" si="89">+K84</f>
        <v>31000000</v>
      </c>
      <c r="O84" s="34"/>
      <c r="P84" s="34">
        <v>27183500</v>
      </c>
      <c r="Q84" s="16">
        <f t="shared" si="76"/>
        <v>41440.978600731454</v>
      </c>
      <c r="R84" s="16">
        <f t="shared" si="87"/>
        <v>3816500</v>
      </c>
      <c r="S84" s="16">
        <f t="shared" si="77"/>
        <v>5818.2167428657667</v>
      </c>
      <c r="T84" s="43">
        <f t="shared" si="88"/>
        <v>0.87688709677419352</v>
      </c>
    </row>
    <row r="85" spans="1:20" s="36" customFormat="1" ht="27.5" customHeight="1" x14ac:dyDescent="0.35">
      <c r="A85" s="71" t="s">
        <v>113</v>
      </c>
      <c r="B85" s="26" t="s">
        <v>41</v>
      </c>
      <c r="C85" s="34">
        <v>1</v>
      </c>
      <c r="D85" s="34">
        <v>7000000</v>
      </c>
      <c r="E85" s="34">
        <f t="shared" si="83"/>
        <v>10671.431206618727</v>
      </c>
      <c r="F85" s="34">
        <f t="shared" si="72"/>
        <v>7000000</v>
      </c>
      <c r="G85" s="34">
        <f t="shared" si="73"/>
        <v>10671.431206618727</v>
      </c>
      <c r="H85" s="34">
        <v>1</v>
      </c>
      <c r="I85" s="34">
        <v>7000000</v>
      </c>
      <c r="J85" s="34">
        <f t="shared" si="84"/>
        <v>10671.431206618727</v>
      </c>
      <c r="K85" s="34">
        <f t="shared" si="85"/>
        <v>7000000</v>
      </c>
      <c r="L85" s="34">
        <f t="shared" si="86"/>
        <v>10671.431206618727</v>
      </c>
      <c r="M85" s="34"/>
      <c r="N85" s="34">
        <f t="shared" si="89"/>
        <v>7000000</v>
      </c>
      <c r="O85" s="34"/>
      <c r="P85" s="34">
        <v>6930902</v>
      </c>
      <c r="Q85" s="16">
        <f t="shared" si="76"/>
        <v>10566.091984688021</v>
      </c>
      <c r="R85" s="16">
        <f t="shared" si="87"/>
        <v>69098</v>
      </c>
      <c r="S85" s="16">
        <f t="shared" si="77"/>
        <v>105.33922193070582</v>
      </c>
      <c r="T85" s="43">
        <f t="shared" si="88"/>
        <v>0.99012885714285714</v>
      </c>
    </row>
    <row r="86" spans="1:20" s="36" customFormat="1" ht="27.5" customHeight="1" x14ac:dyDescent="0.35">
      <c r="A86" s="71" t="s">
        <v>114</v>
      </c>
      <c r="B86" s="26" t="s">
        <v>41</v>
      </c>
      <c r="C86" s="34">
        <v>1</v>
      </c>
      <c r="D86" s="34">
        <v>3500000</v>
      </c>
      <c r="E86" s="34">
        <f t="shared" si="83"/>
        <v>5335.7156033093634</v>
      </c>
      <c r="F86" s="34">
        <f t="shared" si="72"/>
        <v>3500000</v>
      </c>
      <c r="G86" s="34">
        <f t="shared" si="73"/>
        <v>5335.7156033093634</v>
      </c>
      <c r="H86" s="34">
        <v>1</v>
      </c>
      <c r="I86" s="34">
        <v>3500000</v>
      </c>
      <c r="J86" s="34">
        <f t="shared" si="84"/>
        <v>5335.7156033093634</v>
      </c>
      <c r="K86" s="34">
        <f t="shared" si="85"/>
        <v>3500000</v>
      </c>
      <c r="L86" s="34">
        <f t="shared" si="86"/>
        <v>5335.7156033093634</v>
      </c>
      <c r="M86" s="34"/>
      <c r="N86" s="34">
        <f t="shared" si="89"/>
        <v>3500000</v>
      </c>
      <c r="O86" s="34"/>
      <c r="P86" s="34">
        <v>3150000</v>
      </c>
      <c r="Q86" s="16">
        <f t="shared" si="76"/>
        <v>4802.144042978427</v>
      </c>
      <c r="R86" s="16">
        <f t="shared" si="87"/>
        <v>350000</v>
      </c>
      <c r="S86" s="16">
        <f t="shared" si="77"/>
        <v>533.57156033093634</v>
      </c>
      <c r="T86" s="43">
        <f t="shared" si="88"/>
        <v>0.9</v>
      </c>
    </row>
    <row r="87" spans="1:20" s="36" customFormat="1" ht="27.5" customHeight="1" x14ac:dyDescent="0.35">
      <c r="A87" s="71" t="s">
        <v>115</v>
      </c>
      <c r="B87" s="26" t="s">
        <v>13</v>
      </c>
      <c r="C87" s="34">
        <v>24</v>
      </c>
      <c r="D87" s="34">
        <v>6670000</v>
      </c>
      <c r="E87" s="34">
        <f t="shared" si="83"/>
        <v>10168.349449735273</v>
      </c>
      <c r="F87" s="34">
        <f t="shared" si="72"/>
        <v>160080000</v>
      </c>
      <c r="G87" s="34">
        <f t="shared" si="73"/>
        <v>244040.38679364652</v>
      </c>
      <c r="H87" s="34">
        <v>12</v>
      </c>
      <c r="I87" s="34">
        <v>6670000</v>
      </c>
      <c r="J87" s="34">
        <f t="shared" si="84"/>
        <v>10168.349449735273</v>
      </c>
      <c r="K87" s="34">
        <f t="shared" si="85"/>
        <v>80040000</v>
      </c>
      <c r="L87" s="34">
        <f t="shared" si="86"/>
        <v>122020.19339682326</v>
      </c>
      <c r="M87" s="34"/>
      <c r="N87" s="34">
        <f t="shared" si="89"/>
        <v>80040000</v>
      </c>
      <c r="O87" s="34"/>
      <c r="P87" s="34">
        <v>79129640</v>
      </c>
      <c r="Q87" s="16">
        <f t="shared" si="76"/>
        <v>120632.35852350078</v>
      </c>
      <c r="R87" s="16">
        <f t="shared" si="87"/>
        <v>910360</v>
      </c>
      <c r="S87" s="16">
        <f t="shared" si="77"/>
        <v>1387.8348733224891</v>
      </c>
      <c r="T87" s="43">
        <f t="shared" si="88"/>
        <v>0.98862618690654669</v>
      </c>
    </row>
    <row r="88" spans="1:20" s="36" customFormat="1" ht="27.5" customHeight="1" x14ac:dyDescent="0.35">
      <c r="A88" s="71" t="s">
        <v>116</v>
      </c>
      <c r="B88" s="26" t="s">
        <v>41</v>
      </c>
      <c r="C88" s="34">
        <v>1</v>
      </c>
      <c r="D88" s="34">
        <v>7000000</v>
      </c>
      <c r="E88" s="34">
        <f t="shared" si="83"/>
        <v>10671.431206618727</v>
      </c>
      <c r="F88" s="34">
        <f t="shared" si="72"/>
        <v>7000000</v>
      </c>
      <c r="G88" s="34">
        <f t="shared" si="73"/>
        <v>10671.431206618727</v>
      </c>
      <c r="H88" s="34">
        <v>1</v>
      </c>
      <c r="I88" s="34">
        <v>7000000</v>
      </c>
      <c r="J88" s="34">
        <f t="shared" si="84"/>
        <v>10671.431206618727</v>
      </c>
      <c r="K88" s="34">
        <f t="shared" si="85"/>
        <v>7000000</v>
      </c>
      <c r="L88" s="34">
        <f t="shared" si="86"/>
        <v>10671.431206618727</v>
      </c>
      <c r="M88" s="34"/>
      <c r="N88" s="34">
        <f t="shared" si="89"/>
        <v>7000000</v>
      </c>
      <c r="O88" s="34"/>
      <c r="P88" s="34"/>
      <c r="Q88" s="16">
        <f t="shared" si="76"/>
        <v>0</v>
      </c>
      <c r="R88" s="16">
        <f t="shared" si="87"/>
        <v>7000000</v>
      </c>
      <c r="S88" s="16">
        <f t="shared" si="77"/>
        <v>10671.431206618727</v>
      </c>
      <c r="T88" s="43">
        <f t="shared" si="88"/>
        <v>0</v>
      </c>
    </row>
    <row r="89" spans="1:20" s="36" customFormat="1" ht="27.5" customHeight="1" x14ac:dyDescent="0.35">
      <c r="A89" s="71" t="s">
        <v>117</v>
      </c>
      <c r="B89" s="26" t="s">
        <v>41</v>
      </c>
      <c r="C89" s="34">
        <v>1</v>
      </c>
      <c r="D89" s="34">
        <v>4000000</v>
      </c>
      <c r="E89" s="34">
        <f t="shared" si="83"/>
        <v>6097.9606894964154</v>
      </c>
      <c r="F89" s="34">
        <f t="shared" si="72"/>
        <v>4000000</v>
      </c>
      <c r="G89" s="34">
        <f t="shared" si="73"/>
        <v>6097.9606894964154</v>
      </c>
      <c r="H89" s="34">
        <v>1</v>
      </c>
      <c r="I89" s="34">
        <v>4000000</v>
      </c>
      <c r="J89" s="34">
        <f t="shared" si="84"/>
        <v>6097.9606894964154</v>
      </c>
      <c r="K89" s="34">
        <f t="shared" si="85"/>
        <v>4000000</v>
      </c>
      <c r="L89" s="34">
        <f t="shared" si="86"/>
        <v>6097.9606894964154</v>
      </c>
      <c r="M89" s="34"/>
      <c r="N89" s="34">
        <f t="shared" si="89"/>
        <v>4000000</v>
      </c>
      <c r="O89" s="34"/>
      <c r="P89" s="34">
        <v>722500</v>
      </c>
      <c r="Q89" s="16">
        <f t="shared" si="76"/>
        <v>1101.44414954029</v>
      </c>
      <c r="R89" s="16">
        <f t="shared" si="87"/>
        <v>3277500</v>
      </c>
      <c r="S89" s="16">
        <f t="shared" si="77"/>
        <v>4996.5165399561256</v>
      </c>
      <c r="T89" s="43">
        <f t="shared" si="88"/>
        <v>0.18062500000000001</v>
      </c>
    </row>
    <row r="90" spans="1:20" s="31" customFormat="1" ht="27.5" customHeight="1" collapsed="1" x14ac:dyDescent="0.35">
      <c r="A90" s="58" t="s">
        <v>120</v>
      </c>
      <c r="B90" s="30"/>
      <c r="C90" s="30"/>
      <c r="D90" s="30"/>
      <c r="E90" s="30"/>
      <c r="F90" s="30">
        <f>SUM(F91:F94)</f>
        <v>35715000</v>
      </c>
      <c r="G90" s="30">
        <f>SUM(G91:G94)</f>
        <v>54447.16650634112</v>
      </c>
      <c r="H90" s="30">
        <f t="shared" ref="H90:S90" si="90">SUM(H91:H94)</f>
        <v>2</v>
      </c>
      <c r="I90" s="30">
        <f t="shared" si="90"/>
        <v>23715000</v>
      </c>
      <c r="J90" s="30">
        <f t="shared" si="90"/>
        <v>36153.284437851871</v>
      </c>
      <c r="K90" s="30">
        <f t="shared" si="90"/>
        <v>19000000</v>
      </c>
      <c r="L90" s="30">
        <f t="shared" si="90"/>
        <v>28965.313275107972</v>
      </c>
      <c r="M90" s="30">
        <f t="shared" si="90"/>
        <v>0</v>
      </c>
      <c r="N90" s="30">
        <f t="shared" si="90"/>
        <v>19000000</v>
      </c>
      <c r="O90" s="30">
        <f t="shared" si="90"/>
        <v>0</v>
      </c>
      <c r="P90" s="30">
        <f t="shared" si="90"/>
        <v>17961920</v>
      </c>
      <c r="Q90" s="30">
        <f t="shared" si="90"/>
        <v>27382.770516969864</v>
      </c>
      <c r="R90" s="30">
        <f t="shared" si="90"/>
        <v>1038080</v>
      </c>
      <c r="S90" s="30">
        <f t="shared" si="90"/>
        <v>1582.5427581381095</v>
      </c>
      <c r="T90" s="16"/>
    </row>
    <row r="91" spans="1:20" s="35" customFormat="1" ht="27.5" customHeight="1" x14ac:dyDescent="0.35">
      <c r="A91" s="72" t="s">
        <v>120</v>
      </c>
      <c r="B91" s="15" t="s">
        <v>41</v>
      </c>
      <c r="C91" s="25">
        <v>1</v>
      </c>
      <c r="D91" s="38">
        <v>4715000</v>
      </c>
      <c r="E91" s="34">
        <f>D91/$A$3</f>
        <v>7187.9711627438992</v>
      </c>
      <c r="F91" s="38">
        <f t="shared" ref="F91" si="91">C91*D91</f>
        <v>4715000</v>
      </c>
      <c r="G91" s="38">
        <f t="shared" ref="G91" si="92">+F91/655.957</f>
        <v>7187.9711627438992</v>
      </c>
      <c r="H91" s="25">
        <v>0</v>
      </c>
      <c r="I91" s="38">
        <v>4715000</v>
      </c>
      <c r="J91" s="34">
        <f>I91/$A$3</f>
        <v>7187.9711627438992</v>
      </c>
      <c r="K91" s="38">
        <f t="shared" ref="K91:K94" si="93">H91*I91</f>
        <v>0</v>
      </c>
      <c r="L91" s="38">
        <f t="shared" ref="L91:L94" si="94">+K91/655.957</f>
        <v>0</v>
      </c>
      <c r="M91" s="32"/>
      <c r="N91" s="38"/>
      <c r="O91" s="32"/>
      <c r="P91" s="38"/>
      <c r="Q91" s="16">
        <f t="shared" si="76"/>
        <v>0</v>
      </c>
      <c r="R91" s="16">
        <f>+K91-P91</f>
        <v>0</v>
      </c>
      <c r="S91" s="16">
        <f t="shared" si="77"/>
        <v>0</v>
      </c>
      <c r="T91" s="43" t="e">
        <f>+P91/K91</f>
        <v>#DIV/0!</v>
      </c>
    </row>
    <row r="92" spans="1:20" s="6" customFormat="1" ht="27.5" customHeight="1" x14ac:dyDescent="0.35">
      <c r="A92" s="72" t="s">
        <v>121</v>
      </c>
      <c r="B92" s="15" t="s">
        <v>41</v>
      </c>
      <c r="C92" s="25">
        <v>1</v>
      </c>
      <c r="D92" s="38">
        <v>15000000</v>
      </c>
      <c r="E92" s="34">
        <f>D92/$A$3</f>
        <v>22867.352585611556</v>
      </c>
      <c r="F92" s="38">
        <f t="shared" si="72"/>
        <v>15000000</v>
      </c>
      <c r="G92" s="38">
        <f t="shared" si="73"/>
        <v>22867.352585611556</v>
      </c>
      <c r="H92" s="25">
        <v>1</v>
      </c>
      <c r="I92" s="38">
        <v>15000000</v>
      </c>
      <c r="J92" s="34">
        <f>I92/$A$3</f>
        <v>22867.352585611556</v>
      </c>
      <c r="K92" s="38">
        <f t="shared" si="93"/>
        <v>15000000</v>
      </c>
      <c r="L92" s="38">
        <f t="shared" si="94"/>
        <v>22867.352585611556</v>
      </c>
      <c r="M92" s="38"/>
      <c r="N92" s="38">
        <f>+K92</f>
        <v>15000000</v>
      </c>
      <c r="O92" s="38"/>
      <c r="P92" s="38">
        <v>14081920</v>
      </c>
      <c r="Q92" s="16">
        <f t="shared" si="76"/>
        <v>21467.74864815834</v>
      </c>
      <c r="R92" s="16">
        <f>+K92-P92</f>
        <v>918080</v>
      </c>
      <c r="S92" s="16">
        <f t="shared" si="77"/>
        <v>1399.6039374532172</v>
      </c>
      <c r="T92" s="43">
        <f>+P92/K92</f>
        <v>0.93879466666666667</v>
      </c>
    </row>
    <row r="93" spans="1:20" s="36" customFormat="1" ht="27.5" customHeight="1" x14ac:dyDescent="0.35">
      <c r="A93" s="71" t="s">
        <v>122</v>
      </c>
      <c r="B93" s="26" t="s">
        <v>41</v>
      </c>
      <c r="C93" s="34">
        <v>4</v>
      </c>
      <c r="D93" s="34">
        <v>4000000</v>
      </c>
      <c r="E93" s="34">
        <f>D93/$A$3</f>
        <v>6097.9606894964154</v>
      </c>
      <c r="F93" s="34">
        <f t="shared" si="72"/>
        <v>16000000</v>
      </c>
      <c r="G93" s="34">
        <f t="shared" si="73"/>
        <v>24391.842757985662</v>
      </c>
      <c r="H93" s="34">
        <v>1</v>
      </c>
      <c r="I93" s="34">
        <v>4000000</v>
      </c>
      <c r="J93" s="34">
        <f>I93/$A$3</f>
        <v>6097.9606894964154</v>
      </c>
      <c r="K93" s="34">
        <f t="shared" si="93"/>
        <v>4000000</v>
      </c>
      <c r="L93" s="34">
        <f t="shared" si="94"/>
        <v>6097.9606894964154</v>
      </c>
      <c r="M93" s="34"/>
      <c r="N93" s="38">
        <f>+K93</f>
        <v>4000000</v>
      </c>
      <c r="O93" s="34"/>
      <c r="P93" s="34">
        <v>3880000</v>
      </c>
      <c r="Q93" s="16">
        <f t="shared" si="76"/>
        <v>5915.0218688115228</v>
      </c>
      <c r="R93" s="16">
        <f>+K93-P93</f>
        <v>120000</v>
      </c>
      <c r="S93" s="16">
        <f t="shared" si="77"/>
        <v>182.93882068489245</v>
      </c>
      <c r="T93" s="43">
        <f>+P93/K93</f>
        <v>0.97</v>
      </c>
    </row>
    <row r="94" spans="1:20" s="31" customFormat="1" ht="27.5" customHeight="1" collapsed="1" x14ac:dyDescent="0.35">
      <c r="A94" s="58" t="s">
        <v>44</v>
      </c>
      <c r="B94" s="92" t="s">
        <v>41</v>
      </c>
      <c r="C94" s="30">
        <v>0</v>
      </c>
      <c r="D94" s="30">
        <v>0</v>
      </c>
      <c r="E94" s="30"/>
      <c r="F94" s="30">
        <f t="shared" si="72"/>
        <v>0</v>
      </c>
      <c r="G94" s="30">
        <f t="shared" si="73"/>
        <v>0</v>
      </c>
      <c r="H94" s="30">
        <v>0</v>
      </c>
      <c r="I94" s="30">
        <v>0</v>
      </c>
      <c r="J94" s="30"/>
      <c r="K94" s="30">
        <f t="shared" si="93"/>
        <v>0</v>
      </c>
      <c r="L94" s="30">
        <f t="shared" si="94"/>
        <v>0</v>
      </c>
      <c r="M94" s="30">
        <v>0</v>
      </c>
      <c r="N94" s="30"/>
      <c r="O94" s="30"/>
      <c r="P94" s="30"/>
      <c r="Q94" s="30"/>
      <c r="R94" s="30"/>
      <c r="S94" s="30"/>
      <c r="T94" s="50"/>
    </row>
    <row r="95" spans="1:20" ht="27.5" customHeight="1" x14ac:dyDescent="0.35">
      <c r="A95" s="70" t="s">
        <v>45</v>
      </c>
      <c r="B95" s="90"/>
      <c r="C95" s="17"/>
      <c r="D95" s="17"/>
      <c r="E95" s="17"/>
      <c r="F95" s="18">
        <f>F73+F77+F80+F81+F82+F90+F94</f>
        <v>335525590</v>
      </c>
      <c r="G95" s="18">
        <f>G73+G77+G80+G81+G82+G90+G94</f>
        <v>511505.46453502285</v>
      </c>
      <c r="H95" s="18"/>
      <c r="I95" s="18"/>
      <c r="J95" s="18"/>
      <c r="K95" s="18">
        <f>+K73+K77+K82+K90</f>
        <v>198040000</v>
      </c>
      <c r="L95" s="18">
        <f>+L73+L77+L82+L90</f>
        <v>301910.03373696754</v>
      </c>
      <c r="M95" s="18">
        <f>+M73+M77+M82+M90</f>
        <v>0</v>
      </c>
      <c r="N95" s="18">
        <f>+N73+N77+N82+N90</f>
        <v>186040000</v>
      </c>
      <c r="O95" s="18">
        <f>+O73+O77+O82+O90</f>
        <v>12000000</v>
      </c>
      <c r="P95" s="18">
        <f>P73+P77+P80+P81+P82+P90+P94</f>
        <v>177062075</v>
      </c>
      <c r="Q95" s="18">
        <f>Q73+Q77+Q80+Q81+Q82+Q90+Q94</f>
        <v>269929.39323766652</v>
      </c>
      <c r="R95" s="18">
        <f>R73+R77+R80+R81+R82+R90+R94</f>
        <v>20977925</v>
      </c>
      <c r="S95" s="18">
        <f>S73+S77+S80+S81+S82+S90+S94</f>
        <v>31980.640499301022</v>
      </c>
      <c r="T95" s="47"/>
    </row>
    <row r="96" spans="1:20" ht="27.5" customHeight="1" x14ac:dyDescent="0.35">
      <c r="A96" s="58" t="s">
        <v>126</v>
      </c>
      <c r="B96" s="15"/>
      <c r="C96" s="91"/>
      <c r="D96" s="16"/>
      <c r="E96" s="16"/>
      <c r="F96" s="16">
        <f t="shared" ref="F96" si="95">C96*D96</f>
        <v>0</v>
      </c>
      <c r="G96" s="16"/>
      <c r="H96" s="91"/>
      <c r="I96" s="16"/>
      <c r="J96" s="16"/>
      <c r="K96" s="16">
        <f t="shared" ref="K96" si="96">H96*I96</f>
        <v>0</v>
      </c>
      <c r="L96" s="16"/>
      <c r="M96" s="16"/>
      <c r="N96" s="16"/>
      <c r="O96" s="16"/>
      <c r="P96" s="16"/>
      <c r="Q96" s="84"/>
      <c r="R96" s="84"/>
      <c r="S96" s="84"/>
      <c r="T96" s="88"/>
    </row>
    <row r="97" spans="1:20" s="31" customFormat="1" ht="27.5" customHeight="1" x14ac:dyDescent="0.35">
      <c r="A97" s="58" t="s">
        <v>96</v>
      </c>
      <c r="B97" s="92" t="s">
        <v>41</v>
      </c>
      <c r="C97" s="30">
        <v>1</v>
      </c>
      <c r="D97" s="30">
        <v>3750000</v>
      </c>
      <c r="E97" s="30">
        <f t="shared" ref="E97:E105" si="97">D97/$A$3</f>
        <v>5716.8381464028889</v>
      </c>
      <c r="F97" s="30">
        <f>C97*D97</f>
        <v>3750000</v>
      </c>
      <c r="G97" s="30">
        <f>+F97/655.957</f>
        <v>5716.8381464028889</v>
      </c>
      <c r="H97" s="30">
        <v>0</v>
      </c>
      <c r="I97" s="30">
        <v>3750000</v>
      </c>
      <c r="J97" s="30">
        <f t="shared" ref="J97:J105" si="98">I97/$A$3</f>
        <v>5716.8381464028889</v>
      </c>
      <c r="K97" s="30">
        <f>H97*I97</f>
        <v>0</v>
      </c>
      <c r="L97" s="30">
        <f>+K97/655.957</f>
        <v>0</v>
      </c>
      <c r="M97" s="30"/>
      <c r="N97" s="30"/>
      <c r="O97" s="30"/>
      <c r="P97" s="30">
        <v>0</v>
      </c>
      <c r="Q97" s="13">
        <f t="shared" ref="Q97:Q111" si="99">+P97/655.957</f>
        <v>0</v>
      </c>
      <c r="R97" s="13">
        <f>+K97-P97</f>
        <v>0</v>
      </c>
      <c r="S97" s="13">
        <f t="shared" ref="S97:S106" si="100">+R97/655.957</f>
        <v>0</v>
      </c>
      <c r="T97" s="46" t="e">
        <f>+P97/K97</f>
        <v>#DIV/0!</v>
      </c>
    </row>
    <row r="98" spans="1:20" s="31" customFormat="1" ht="27.5" customHeight="1" x14ac:dyDescent="0.35">
      <c r="A98" s="58" t="s">
        <v>71</v>
      </c>
      <c r="B98" s="92" t="s">
        <v>41</v>
      </c>
      <c r="C98" s="30">
        <v>1</v>
      </c>
      <c r="D98" s="30">
        <v>13950000</v>
      </c>
      <c r="E98" s="30">
        <f t="shared" si="97"/>
        <v>21266.637904618747</v>
      </c>
      <c r="F98" s="30">
        <f>C98*D98</f>
        <v>13950000</v>
      </c>
      <c r="G98" s="30">
        <f>+F98/655.957</f>
        <v>21266.637904618747</v>
      </c>
      <c r="H98" s="30">
        <v>0</v>
      </c>
      <c r="I98" s="30">
        <v>13950000</v>
      </c>
      <c r="J98" s="30">
        <f t="shared" si="98"/>
        <v>21266.637904618747</v>
      </c>
      <c r="K98" s="30">
        <f>H98*I98</f>
        <v>0</v>
      </c>
      <c r="L98" s="30">
        <f>+K98/655.957</f>
        <v>0</v>
      </c>
      <c r="M98" s="30"/>
      <c r="N98" s="30"/>
      <c r="O98" s="30"/>
      <c r="P98" s="30"/>
      <c r="Q98" s="13">
        <f t="shared" si="99"/>
        <v>0</v>
      </c>
      <c r="R98" s="13">
        <f>+K98-P98</f>
        <v>0</v>
      </c>
      <c r="S98" s="13">
        <f t="shared" si="100"/>
        <v>0</v>
      </c>
      <c r="T98" s="46" t="e">
        <f>+P98/K98</f>
        <v>#DIV/0!</v>
      </c>
    </row>
    <row r="99" spans="1:20" s="31" customFormat="1" ht="27.5" customHeight="1" x14ac:dyDescent="0.35">
      <c r="A99" s="58" t="s">
        <v>72</v>
      </c>
      <c r="B99" s="92" t="s">
        <v>41</v>
      </c>
      <c r="C99" s="30"/>
      <c r="D99" s="30"/>
      <c r="E99" s="30">
        <f t="shared" si="97"/>
        <v>0</v>
      </c>
      <c r="F99" s="30">
        <f>SUM(F100:F102)</f>
        <v>19500000</v>
      </c>
      <c r="G99" s="30">
        <f>SUM(G100:G102)</f>
        <v>29727.558361295025</v>
      </c>
      <c r="H99" s="30"/>
      <c r="I99" s="30"/>
      <c r="J99" s="30">
        <f t="shared" si="98"/>
        <v>0</v>
      </c>
      <c r="K99" s="30">
        <f t="shared" ref="K99:Q99" si="101">SUM(K100:K102)</f>
        <v>0</v>
      </c>
      <c r="L99" s="30">
        <f t="shared" si="101"/>
        <v>0</v>
      </c>
      <c r="M99" s="30">
        <f t="shared" si="101"/>
        <v>0</v>
      </c>
      <c r="N99" s="30">
        <f t="shared" si="101"/>
        <v>0</v>
      </c>
      <c r="O99" s="30">
        <f t="shared" si="101"/>
        <v>0</v>
      </c>
      <c r="P99" s="30">
        <f t="shared" si="101"/>
        <v>0</v>
      </c>
      <c r="Q99" s="30">
        <f t="shared" si="101"/>
        <v>0</v>
      </c>
      <c r="R99" s="13"/>
      <c r="S99" s="13"/>
      <c r="T99" s="46"/>
    </row>
    <row r="100" spans="1:20" s="36" customFormat="1" ht="27.5" customHeight="1" x14ac:dyDescent="0.35">
      <c r="A100" s="71" t="s">
        <v>81</v>
      </c>
      <c r="B100" s="26" t="s">
        <v>41</v>
      </c>
      <c r="C100" s="34"/>
      <c r="D100" s="34"/>
      <c r="E100" s="34">
        <f t="shared" si="97"/>
        <v>0</v>
      </c>
      <c r="F100" s="34">
        <f t="shared" ref="F100:F114" si="102">C100*D100</f>
        <v>0</v>
      </c>
      <c r="G100" s="34">
        <f t="shared" ref="G100:G114" si="103">+F100/655.957</f>
        <v>0</v>
      </c>
      <c r="H100" s="34"/>
      <c r="I100" s="34"/>
      <c r="J100" s="34">
        <f t="shared" si="98"/>
        <v>0</v>
      </c>
      <c r="K100" s="34">
        <f t="shared" ref="K100:K102" si="104">H100*I100</f>
        <v>0</v>
      </c>
      <c r="L100" s="34">
        <f t="shared" ref="L100:L102" si="105">+K100/655.957</f>
        <v>0</v>
      </c>
      <c r="M100" s="34"/>
      <c r="N100" s="34">
        <f>+K100</f>
        <v>0</v>
      </c>
      <c r="O100" s="34"/>
      <c r="P100" s="34"/>
      <c r="Q100" s="16">
        <f t="shared" si="99"/>
        <v>0</v>
      </c>
      <c r="R100" s="16">
        <f t="shared" ref="R100:R107" si="106">+K100-P100</f>
        <v>0</v>
      </c>
      <c r="S100" s="16">
        <f t="shared" si="100"/>
        <v>0</v>
      </c>
      <c r="T100" s="43" t="e">
        <f t="shared" ref="T100:T107" si="107">+P100/K100</f>
        <v>#DIV/0!</v>
      </c>
    </row>
    <row r="101" spans="1:20" s="36" customFormat="1" ht="27.5" customHeight="1" x14ac:dyDescent="0.35">
      <c r="A101" s="71" t="s">
        <v>82</v>
      </c>
      <c r="B101" s="26" t="s">
        <v>41</v>
      </c>
      <c r="C101" s="34">
        <v>1</v>
      </c>
      <c r="D101" s="34">
        <v>12500000</v>
      </c>
      <c r="E101" s="34">
        <f t="shared" si="97"/>
        <v>19056.127154676298</v>
      </c>
      <c r="F101" s="34">
        <f t="shared" si="102"/>
        <v>12500000</v>
      </c>
      <c r="G101" s="34">
        <f t="shared" si="103"/>
        <v>19056.127154676298</v>
      </c>
      <c r="H101" s="34">
        <v>0</v>
      </c>
      <c r="I101" s="34">
        <v>12500000</v>
      </c>
      <c r="J101" s="34">
        <f t="shared" si="98"/>
        <v>19056.127154676298</v>
      </c>
      <c r="K101" s="34">
        <f t="shared" si="104"/>
        <v>0</v>
      </c>
      <c r="L101" s="34">
        <f t="shared" si="105"/>
        <v>0</v>
      </c>
      <c r="M101" s="34"/>
      <c r="N101" s="34">
        <f t="shared" ref="N101:N102" si="108">+K101</f>
        <v>0</v>
      </c>
      <c r="O101" s="34"/>
      <c r="P101" s="34"/>
      <c r="Q101" s="16">
        <f t="shared" si="99"/>
        <v>0</v>
      </c>
      <c r="R101" s="16">
        <f t="shared" si="106"/>
        <v>0</v>
      </c>
      <c r="S101" s="16">
        <f t="shared" si="100"/>
        <v>0</v>
      </c>
      <c r="T101" s="43" t="e">
        <f t="shared" si="107"/>
        <v>#DIV/0!</v>
      </c>
    </row>
    <row r="102" spans="1:20" s="36" customFormat="1" ht="27.5" customHeight="1" x14ac:dyDescent="0.35">
      <c r="A102" s="71" t="s">
        <v>83</v>
      </c>
      <c r="B102" s="26" t="s">
        <v>41</v>
      </c>
      <c r="C102" s="34">
        <v>1</v>
      </c>
      <c r="D102" s="34">
        <v>7000000</v>
      </c>
      <c r="E102" s="34">
        <f t="shared" si="97"/>
        <v>10671.431206618727</v>
      </c>
      <c r="F102" s="34">
        <f>C102*D102</f>
        <v>7000000</v>
      </c>
      <c r="G102" s="34">
        <f t="shared" si="103"/>
        <v>10671.431206618727</v>
      </c>
      <c r="H102" s="34">
        <v>0</v>
      </c>
      <c r="I102" s="34">
        <v>7000000</v>
      </c>
      <c r="J102" s="34">
        <f t="shared" si="98"/>
        <v>10671.431206618727</v>
      </c>
      <c r="K102" s="34">
        <f t="shared" si="104"/>
        <v>0</v>
      </c>
      <c r="L102" s="34">
        <f t="shared" si="105"/>
        <v>0</v>
      </c>
      <c r="M102" s="34"/>
      <c r="N102" s="34">
        <f t="shared" si="108"/>
        <v>0</v>
      </c>
      <c r="O102" s="34"/>
      <c r="P102" s="34"/>
      <c r="Q102" s="16">
        <f t="shared" si="99"/>
        <v>0</v>
      </c>
      <c r="R102" s="16">
        <f t="shared" si="106"/>
        <v>0</v>
      </c>
      <c r="S102" s="16">
        <f t="shared" si="100"/>
        <v>0</v>
      </c>
      <c r="T102" s="43" t="e">
        <f t="shared" si="107"/>
        <v>#DIV/0!</v>
      </c>
    </row>
    <row r="103" spans="1:20" s="31" customFormat="1" ht="27.5" customHeight="1" collapsed="1" x14ac:dyDescent="0.35">
      <c r="A103" s="58" t="s">
        <v>107</v>
      </c>
      <c r="B103" s="92" t="s">
        <v>41</v>
      </c>
      <c r="C103" s="30"/>
      <c r="D103" s="30"/>
      <c r="E103" s="30">
        <f t="shared" si="97"/>
        <v>0</v>
      </c>
      <c r="F103" s="30">
        <f>SUM(F104:F106)</f>
        <v>0</v>
      </c>
      <c r="G103" s="30">
        <f>SUM(G104:G106)</f>
        <v>0</v>
      </c>
      <c r="H103" s="30"/>
      <c r="I103" s="30"/>
      <c r="J103" s="30">
        <f t="shared" si="98"/>
        <v>0</v>
      </c>
      <c r="K103" s="30">
        <f t="shared" ref="K103:Q103" si="109">SUM(K104:K106)</f>
        <v>0</v>
      </c>
      <c r="L103" s="30">
        <f t="shared" si="109"/>
        <v>0</v>
      </c>
      <c r="M103" s="30">
        <f t="shared" si="109"/>
        <v>0</v>
      </c>
      <c r="N103" s="30">
        <f t="shared" si="109"/>
        <v>0</v>
      </c>
      <c r="O103" s="30">
        <f t="shared" si="109"/>
        <v>0</v>
      </c>
      <c r="P103" s="30">
        <f t="shared" si="109"/>
        <v>0</v>
      </c>
      <c r="Q103" s="30">
        <f t="shared" si="109"/>
        <v>0</v>
      </c>
      <c r="R103" s="13">
        <f t="shared" si="106"/>
        <v>0</v>
      </c>
      <c r="S103" s="13">
        <f t="shared" si="100"/>
        <v>0</v>
      </c>
      <c r="T103" s="46" t="e">
        <f t="shared" si="107"/>
        <v>#DIV/0!</v>
      </c>
    </row>
    <row r="104" spans="1:20" s="36" customFormat="1" ht="27.5" customHeight="1" x14ac:dyDescent="0.35">
      <c r="A104" s="71" t="s">
        <v>118</v>
      </c>
      <c r="B104" s="26" t="s">
        <v>41</v>
      </c>
      <c r="C104" s="34">
        <v>0</v>
      </c>
      <c r="D104" s="34">
        <v>8000000</v>
      </c>
      <c r="E104" s="34">
        <f t="shared" si="97"/>
        <v>12195.921378992831</v>
      </c>
      <c r="F104" s="34">
        <f t="shared" ref="F104:F106" si="110">C104*D104</f>
        <v>0</v>
      </c>
      <c r="G104" s="34">
        <f t="shared" si="103"/>
        <v>0</v>
      </c>
      <c r="H104" s="34">
        <v>0</v>
      </c>
      <c r="I104" s="34">
        <v>8000000</v>
      </c>
      <c r="J104" s="34">
        <f t="shared" si="98"/>
        <v>12195.921378992831</v>
      </c>
      <c r="K104" s="34">
        <f t="shared" ref="K104" si="111">H104*I104</f>
        <v>0</v>
      </c>
      <c r="L104" s="34">
        <f t="shared" ref="L104:L106" si="112">+K104/655.957</f>
        <v>0</v>
      </c>
      <c r="M104" s="34"/>
      <c r="N104" s="34"/>
      <c r="O104" s="34">
        <f>G104</f>
        <v>0</v>
      </c>
      <c r="P104" s="34"/>
      <c r="Q104" s="16">
        <f t="shared" si="99"/>
        <v>0</v>
      </c>
      <c r="R104" s="16">
        <f t="shared" si="106"/>
        <v>0</v>
      </c>
      <c r="S104" s="16">
        <f t="shared" si="100"/>
        <v>0</v>
      </c>
      <c r="T104" s="43" t="e">
        <f t="shared" si="107"/>
        <v>#DIV/0!</v>
      </c>
    </row>
    <row r="105" spans="1:20" s="36" customFormat="1" ht="27.5" customHeight="1" x14ac:dyDescent="0.35">
      <c r="A105" s="71" t="s">
        <v>86</v>
      </c>
      <c r="B105" s="26" t="s">
        <v>41</v>
      </c>
      <c r="C105" s="34">
        <v>0</v>
      </c>
      <c r="D105" s="34">
        <v>2200000</v>
      </c>
      <c r="E105" s="34">
        <f t="shared" si="97"/>
        <v>3353.8783792230283</v>
      </c>
      <c r="F105" s="34">
        <f t="shared" si="110"/>
        <v>0</v>
      </c>
      <c r="G105" s="34">
        <f t="shared" si="103"/>
        <v>0</v>
      </c>
      <c r="H105" s="34">
        <v>0</v>
      </c>
      <c r="I105" s="34">
        <v>2200000</v>
      </c>
      <c r="J105" s="34">
        <f t="shared" si="98"/>
        <v>3353.8783792230283</v>
      </c>
      <c r="K105" s="34">
        <f>H105*I105</f>
        <v>0</v>
      </c>
      <c r="L105" s="34">
        <f t="shared" si="112"/>
        <v>0</v>
      </c>
      <c r="M105" s="34"/>
      <c r="N105" s="34"/>
      <c r="O105" s="34">
        <f>G105</f>
        <v>0</v>
      </c>
      <c r="P105" s="34"/>
      <c r="Q105" s="16">
        <f t="shared" si="99"/>
        <v>0</v>
      </c>
      <c r="R105" s="16">
        <f t="shared" si="106"/>
        <v>0</v>
      </c>
      <c r="S105" s="16">
        <f t="shared" si="100"/>
        <v>0</v>
      </c>
      <c r="T105" s="43" t="e">
        <f t="shared" si="107"/>
        <v>#DIV/0!</v>
      </c>
    </row>
    <row r="106" spans="1:20" s="36" customFormat="1" ht="27.5" customHeight="1" x14ac:dyDescent="0.35">
      <c r="A106" s="71" t="s">
        <v>123</v>
      </c>
      <c r="B106" s="26" t="s">
        <v>41</v>
      </c>
      <c r="C106" s="34">
        <v>0</v>
      </c>
      <c r="D106" s="34">
        <v>3224028.6549999998</v>
      </c>
      <c r="E106" s="34">
        <v>4915</v>
      </c>
      <c r="F106" s="34">
        <f t="shared" si="110"/>
        <v>0</v>
      </c>
      <c r="G106" s="34">
        <f t="shared" si="103"/>
        <v>0</v>
      </c>
      <c r="H106" s="34">
        <v>0</v>
      </c>
      <c r="I106" s="34">
        <v>3224028.6549999998</v>
      </c>
      <c r="J106" s="34">
        <v>4915</v>
      </c>
      <c r="K106" s="34">
        <f t="shared" ref="K106" si="113">H106*I106</f>
        <v>0</v>
      </c>
      <c r="L106" s="34">
        <f t="shared" si="112"/>
        <v>0</v>
      </c>
      <c r="M106" s="34"/>
      <c r="N106" s="34"/>
      <c r="O106" s="34">
        <f>G106</f>
        <v>0</v>
      </c>
      <c r="P106" s="34"/>
      <c r="Q106" s="16">
        <f t="shared" si="99"/>
        <v>0</v>
      </c>
      <c r="R106" s="16">
        <f t="shared" si="106"/>
        <v>0</v>
      </c>
      <c r="S106" s="16">
        <f t="shared" si="100"/>
        <v>0</v>
      </c>
      <c r="T106" s="43" t="e">
        <f t="shared" si="107"/>
        <v>#DIV/0!</v>
      </c>
    </row>
    <row r="107" spans="1:20" s="31" customFormat="1" ht="27.5" customHeight="1" collapsed="1" x14ac:dyDescent="0.35">
      <c r="A107" s="58" t="s">
        <v>127</v>
      </c>
      <c r="B107" s="92" t="s">
        <v>41</v>
      </c>
      <c r="C107" s="30">
        <v>2</v>
      </c>
      <c r="D107" s="30">
        <v>20000000</v>
      </c>
      <c r="E107" s="30">
        <f>D107/$A$3</f>
        <v>30489.803447482078</v>
      </c>
      <c r="F107" s="30">
        <f>C107*D107</f>
        <v>40000000</v>
      </c>
      <c r="G107" s="30">
        <f>+F107/655.957</f>
        <v>60979.606894964156</v>
      </c>
      <c r="H107" s="30">
        <v>1</v>
      </c>
      <c r="I107" s="30">
        <v>20000000</v>
      </c>
      <c r="J107" s="30">
        <f>I107/$A$3</f>
        <v>30489.803447482078</v>
      </c>
      <c r="K107" s="30">
        <f>H107*I107</f>
        <v>20000000</v>
      </c>
      <c r="L107" s="30">
        <f>+K107/655.957</f>
        <v>30489.803447482078</v>
      </c>
      <c r="M107" s="30"/>
      <c r="N107" s="30">
        <f>+K107</f>
        <v>20000000</v>
      </c>
      <c r="O107" s="30"/>
      <c r="P107" s="30">
        <f>18277746+820000</f>
        <v>19097746</v>
      </c>
      <c r="Q107" s="13">
        <f t="shared" si="99"/>
        <v>29114.326091496852</v>
      </c>
      <c r="R107" s="13">
        <f t="shared" si="106"/>
        <v>902254</v>
      </c>
      <c r="S107" s="13">
        <f t="shared" ref="S107:S112" si="114">+R107/655.957</f>
        <v>1375.4773559852247</v>
      </c>
      <c r="T107" s="46">
        <f t="shared" si="107"/>
        <v>0.95488729999999999</v>
      </c>
    </row>
    <row r="108" spans="1:20" s="31" customFormat="1" ht="27.5" customHeight="1" collapsed="1" x14ac:dyDescent="0.35">
      <c r="A108" s="58" t="s">
        <v>162</v>
      </c>
      <c r="B108" s="92" t="s">
        <v>41</v>
      </c>
      <c r="C108" s="30"/>
      <c r="D108" s="30"/>
      <c r="E108" s="30"/>
      <c r="F108" s="30">
        <f>SUM(F109:F111)</f>
        <v>40000000</v>
      </c>
      <c r="G108" s="30">
        <f>SUM(G109:G111)</f>
        <v>60979.606894964149</v>
      </c>
      <c r="H108" s="30"/>
      <c r="I108" s="30"/>
      <c r="J108" s="30"/>
      <c r="K108" s="30">
        <f t="shared" ref="K108:S108" si="115">SUM(K109:K111)</f>
        <v>19000000</v>
      </c>
      <c r="L108" s="30">
        <f t="shared" si="115"/>
        <v>28965.313275107972</v>
      </c>
      <c r="M108" s="30">
        <f t="shared" si="115"/>
        <v>0</v>
      </c>
      <c r="N108" s="30">
        <f t="shared" si="115"/>
        <v>19000000</v>
      </c>
      <c r="O108" s="30">
        <f t="shared" si="115"/>
        <v>0</v>
      </c>
      <c r="P108" s="30">
        <f t="shared" si="115"/>
        <v>17622981</v>
      </c>
      <c r="Q108" s="30">
        <f t="shared" si="115"/>
        <v>26866.061342435558</v>
      </c>
      <c r="R108" s="30">
        <f t="shared" si="115"/>
        <v>1377019</v>
      </c>
      <c r="S108" s="30">
        <f t="shared" si="115"/>
        <v>2099.2519326724159</v>
      </c>
      <c r="T108" s="43"/>
    </row>
    <row r="109" spans="1:20" s="36" customFormat="1" ht="27.5" customHeight="1" x14ac:dyDescent="0.35">
      <c r="A109" s="71" t="s">
        <v>163</v>
      </c>
      <c r="B109" s="26" t="s">
        <v>41</v>
      </c>
      <c r="C109" s="34">
        <v>1</v>
      </c>
      <c r="D109" s="34">
        <v>8000000</v>
      </c>
      <c r="E109" s="34">
        <f>D109/$A$3</f>
        <v>12195.921378992831</v>
      </c>
      <c r="F109" s="34">
        <f>C109*D109</f>
        <v>8000000</v>
      </c>
      <c r="G109" s="34">
        <f>+F109/655.957</f>
        <v>12195.921378992831</v>
      </c>
      <c r="H109" s="34">
        <v>1</v>
      </c>
      <c r="I109" s="34">
        <v>8000000</v>
      </c>
      <c r="J109" s="34">
        <f>I109/$A$3</f>
        <v>12195.921378992831</v>
      </c>
      <c r="K109" s="34">
        <f>H109*I109</f>
        <v>8000000</v>
      </c>
      <c r="L109" s="34">
        <f>+K109/655.957</f>
        <v>12195.921378992831</v>
      </c>
      <c r="M109" s="34"/>
      <c r="N109" s="34">
        <f>+K109</f>
        <v>8000000</v>
      </c>
      <c r="O109" s="34"/>
      <c r="P109" s="34">
        <v>8058981</v>
      </c>
      <c r="Q109" s="16">
        <f t="shared" si="99"/>
        <v>12285.837333849628</v>
      </c>
      <c r="R109" s="16">
        <f t="shared" ref="R109:R114" si="116">+K109-P109</f>
        <v>-58981</v>
      </c>
      <c r="S109" s="16">
        <f t="shared" si="114"/>
        <v>-89.915954856797015</v>
      </c>
      <c r="T109" s="43">
        <f t="shared" ref="T109:T114" si="117">+P109/K109</f>
        <v>1.0073726249999999</v>
      </c>
    </row>
    <row r="110" spans="1:20" s="36" customFormat="1" ht="27.5" customHeight="1" x14ac:dyDescent="0.35">
      <c r="A110" s="71" t="s">
        <v>164</v>
      </c>
      <c r="B110" s="26" t="s">
        <v>41</v>
      </c>
      <c r="C110" s="34">
        <v>2</v>
      </c>
      <c r="D110" s="34">
        <v>6000000</v>
      </c>
      <c r="E110" s="34">
        <f>D110/$A$3</f>
        <v>9146.9410342446226</v>
      </c>
      <c r="F110" s="34">
        <f t="shared" ref="F110:F111" si="118">C110*D110</f>
        <v>12000000</v>
      </c>
      <c r="G110" s="34">
        <f t="shared" ref="G110:G111" si="119">+F110/655.957</f>
        <v>18293.882068489245</v>
      </c>
      <c r="H110" s="34">
        <v>1</v>
      </c>
      <c r="I110" s="34">
        <v>6000000</v>
      </c>
      <c r="J110" s="34">
        <f>I110/$A$3</f>
        <v>9146.9410342446226</v>
      </c>
      <c r="K110" s="34">
        <f t="shared" ref="K110:K111" si="120">H110*I110</f>
        <v>6000000</v>
      </c>
      <c r="L110" s="34">
        <f t="shared" ref="L110:L111" si="121">+K110/655.957</f>
        <v>9146.9410342446226</v>
      </c>
      <c r="M110" s="34"/>
      <c r="N110" s="34">
        <f t="shared" ref="N110:N114" si="122">+K110</f>
        <v>6000000</v>
      </c>
      <c r="O110" s="34"/>
      <c r="P110" s="34">
        <v>4728000</v>
      </c>
      <c r="Q110" s="16">
        <f t="shared" si="99"/>
        <v>7207.7895349847631</v>
      </c>
      <c r="R110" s="16">
        <f t="shared" si="116"/>
        <v>1272000</v>
      </c>
      <c r="S110" s="16">
        <f t="shared" si="114"/>
        <v>1939.15149925986</v>
      </c>
      <c r="T110" s="43">
        <f t="shared" si="117"/>
        <v>0.78800000000000003</v>
      </c>
    </row>
    <row r="111" spans="1:20" s="36" customFormat="1" ht="27.5" customHeight="1" x14ac:dyDescent="0.35">
      <c r="A111" s="71" t="s">
        <v>165</v>
      </c>
      <c r="B111" s="26" t="s">
        <v>41</v>
      </c>
      <c r="C111" s="25">
        <v>4</v>
      </c>
      <c r="D111" s="34">
        <v>5000000</v>
      </c>
      <c r="E111" s="34">
        <f>D111/$A$3</f>
        <v>7622.4508618705195</v>
      </c>
      <c r="F111" s="34">
        <f t="shared" si="118"/>
        <v>20000000</v>
      </c>
      <c r="G111" s="34">
        <f t="shared" si="119"/>
        <v>30489.803447482078</v>
      </c>
      <c r="H111" s="25">
        <v>1</v>
      </c>
      <c r="I111" s="34">
        <v>5000000</v>
      </c>
      <c r="J111" s="34">
        <f>I111/$A$3</f>
        <v>7622.4508618705195</v>
      </c>
      <c r="K111" s="34">
        <f t="shared" si="120"/>
        <v>5000000</v>
      </c>
      <c r="L111" s="34">
        <f t="shared" si="121"/>
        <v>7622.4508618705195</v>
      </c>
      <c r="M111" s="34"/>
      <c r="N111" s="34">
        <f t="shared" si="122"/>
        <v>5000000</v>
      </c>
      <c r="O111" s="34"/>
      <c r="P111" s="34">
        <v>4836000</v>
      </c>
      <c r="Q111" s="16">
        <f t="shared" si="99"/>
        <v>7372.4344736011662</v>
      </c>
      <c r="R111" s="16">
        <f t="shared" si="116"/>
        <v>164000</v>
      </c>
      <c r="S111" s="16">
        <f t="shared" si="114"/>
        <v>250.01638826935303</v>
      </c>
      <c r="T111" s="43">
        <f t="shared" si="117"/>
        <v>0.96719999999999995</v>
      </c>
    </row>
    <row r="112" spans="1:20" s="31" customFormat="1" ht="27.5" customHeight="1" collapsed="1" x14ac:dyDescent="0.35">
      <c r="A112" s="58" t="s">
        <v>166</v>
      </c>
      <c r="B112" s="92"/>
      <c r="C112" s="30"/>
      <c r="D112" s="30"/>
      <c r="E112" s="30"/>
      <c r="F112" s="30">
        <f>SUM(F113:F114)</f>
        <v>7500000</v>
      </c>
      <c r="G112" s="30">
        <f>SUM(G113:G114)</f>
        <v>11433.676292805778</v>
      </c>
      <c r="H112" s="30"/>
      <c r="I112" s="30"/>
      <c r="J112" s="30"/>
      <c r="K112" s="30">
        <f t="shared" ref="K112:Q112" si="123">SUM(K113:K114)</f>
        <v>0</v>
      </c>
      <c r="L112" s="30">
        <f t="shared" si="123"/>
        <v>0</v>
      </c>
      <c r="M112" s="30">
        <f t="shared" si="123"/>
        <v>0</v>
      </c>
      <c r="N112" s="30">
        <f t="shared" si="123"/>
        <v>0</v>
      </c>
      <c r="O112" s="30">
        <f t="shared" si="123"/>
        <v>0</v>
      </c>
      <c r="P112" s="30">
        <f t="shared" si="123"/>
        <v>0</v>
      </c>
      <c r="Q112" s="30">
        <f t="shared" si="123"/>
        <v>0</v>
      </c>
      <c r="R112" s="16">
        <f t="shared" si="116"/>
        <v>0</v>
      </c>
      <c r="S112" s="16">
        <f t="shared" si="114"/>
        <v>0</v>
      </c>
      <c r="T112" s="43" t="e">
        <f t="shared" si="117"/>
        <v>#DIV/0!</v>
      </c>
    </row>
    <row r="113" spans="1:20 16362:16362" s="6" customFormat="1" ht="27.5" customHeight="1" x14ac:dyDescent="0.35">
      <c r="A113" s="72" t="s">
        <v>167</v>
      </c>
      <c r="B113" s="15" t="s">
        <v>41</v>
      </c>
      <c r="C113" s="25">
        <v>1</v>
      </c>
      <c r="D113" s="38">
        <v>500000</v>
      </c>
      <c r="E113" s="34">
        <f>D113/$A$3</f>
        <v>762.24508618705192</v>
      </c>
      <c r="F113" s="38">
        <f t="shared" si="102"/>
        <v>500000</v>
      </c>
      <c r="G113" s="38">
        <f t="shared" si="103"/>
        <v>762.24508618705192</v>
      </c>
      <c r="H113" s="25">
        <v>0</v>
      </c>
      <c r="I113" s="38">
        <v>500000</v>
      </c>
      <c r="J113" s="34">
        <f>I113/$A$3</f>
        <v>762.24508618705192</v>
      </c>
      <c r="K113" s="38">
        <f t="shared" ref="K113:K114" si="124">H113*I113</f>
        <v>0</v>
      </c>
      <c r="L113" s="38">
        <f t="shared" ref="L113:L114" si="125">+K113/655.957</f>
        <v>0</v>
      </c>
      <c r="M113" s="38"/>
      <c r="N113" s="34">
        <f t="shared" si="122"/>
        <v>0</v>
      </c>
      <c r="O113" s="38"/>
      <c r="P113" s="38"/>
      <c r="Q113" s="38"/>
      <c r="R113" s="16">
        <f t="shared" si="116"/>
        <v>0</v>
      </c>
      <c r="S113" s="16">
        <f t="shared" ref="S113:S114" si="126">+R113/655.957</f>
        <v>0</v>
      </c>
      <c r="T113" s="43" t="e">
        <f t="shared" si="117"/>
        <v>#DIV/0!</v>
      </c>
    </row>
    <row r="114" spans="1:20 16362:16362" s="36" customFormat="1" ht="27.5" customHeight="1" x14ac:dyDescent="0.35">
      <c r="A114" s="71" t="s">
        <v>168</v>
      </c>
      <c r="B114" s="26" t="s">
        <v>41</v>
      </c>
      <c r="C114" s="34">
        <v>1</v>
      </c>
      <c r="D114" s="34">
        <v>7000000</v>
      </c>
      <c r="E114" s="34">
        <f>D114/$A$3</f>
        <v>10671.431206618727</v>
      </c>
      <c r="F114" s="34">
        <f t="shared" si="102"/>
        <v>7000000</v>
      </c>
      <c r="G114" s="34">
        <f t="shared" si="103"/>
        <v>10671.431206618727</v>
      </c>
      <c r="H114" s="34">
        <v>0</v>
      </c>
      <c r="I114" s="34">
        <v>7000000</v>
      </c>
      <c r="J114" s="34">
        <f>I114/$A$3</f>
        <v>10671.431206618727</v>
      </c>
      <c r="K114" s="34">
        <f t="shared" si="124"/>
        <v>0</v>
      </c>
      <c r="L114" s="34">
        <f t="shared" si="125"/>
        <v>0</v>
      </c>
      <c r="M114" s="34"/>
      <c r="N114" s="34">
        <f t="shared" si="122"/>
        <v>0</v>
      </c>
      <c r="O114" s="34"/>
      <c r="P114" s="34"/>
      <c r="Q114" s="34"/>
      <c r="R114" s="16">
        <f t="shared" si="116"/>
        <v>0</v>
      </c>
      <c r="S114" s="16">
        <f t="shared" si="126"/>
        <v>0</v>
      </c>
      <c r="T114" s="43" t="e">
        <f t="shared" si="117"/>
        <v>#DIV/0!</v>
      </c>
    </row>
    <row r="115" spans="1:20 16362:16362" ht="27.5" customHeight="1" collapsed="1" x14ac:dyDescent="0.35">
      <c r="A115" s="70" t="s">
        <v>46</v>
      </c>
      <c r="B115" s="151"/>
      <c r="C115" s="152"/>
      <c r="D115" s="152"/>
      <c r="E115" s="17"/>
      <c r="F115" s="18">
        <f>F97+F98+F99+F103+F107+F108+F112</f>
        <v>124700000</v>
      </c>
      <c r="G115" s="18">
        <f>G97+G98+G99+G103+G107+G108+G112</f>
        <v>190103.92449505074</v>
      </c>
      <c r="H115" s="18"/>
      <c r="I115" s="18"/>
      <c r="J115" s="18"/>
      <c r="K115" s="18">
        <f>K97+K98+K99+K103+K107+K108+K112</f>
        <v>39000000</v>
      </c>
      <c r="L115" s="18">
        <f>L97+L98+L99+L103+L107+L108+L112</f>
        <v>59455.11672259005</v>
      </c>
      <c r="M115" s="18">
        <f>M97+M98+M99+M103+M107+M108+M112</f>
        <v>0</v>
      </c>
      <c r="N115" s="18">
        <f>N97+N98+N99+N103+N107+N108+N112</f>
        <v>39000000</v>
      </c>
      <c r="O115" s="18">
        <f>O97+O98+O99+O103+O107+O108+O112</f>
        <v>0</v>
      </c>
      <c r="P115" s="18">
        <f>P97+P98+P99+P103+P107+P108+P112</f>
        <v>36720727</v>
      </c>
      <c r="Q115" s="18">
        <f>Q97+Q98+Q99+Q103+Q107+Q108+Q112</f>
        <v>55980.38743393241</v>
      </c>
      <c r="R115" s="18">
        <f>R97+R98+R99+R103+R107+R108+R112</f>
        <v>2279273</v>
      </c>
      <c r="S115" s="18">
        <f>S97+S98+S99+S103+S107+S108+S112</f>
        <v>3474.7292886576406</v>
      </c>
      <c r="T115" s="18" t="e">
        <f>T97+T98+T99+T103+T107+T108+T112</f>
        <v>#DIV/0!</v>
      </c>
    </row>
    <row r="116" spans="1:20 16362:16362" s="77" customFormat="1" ht="37" customHeight="1" x14ac:dyDescent="0.35">
      <c r="A116" s="58" t="s">
        <v>73</v>
      </c>
      <c r="B116" s="3"/>
      <c r="C116" s="3"/>
      <c r="D116" s="13"/>
      <c r="E116" s="13"/>
      <c r="F116" s="13"/>
      <c r="G116" s="13"/>
      <c r="H116" s="3"/>
      <c r="I116" s="13"/>
      <c r="J116" s="13"/>
      <c r="K116" s="13"/>
      <c r="L116" s="13"/>
      <c r="M116" s="13"/>
      <c r="N116" s="13"/>
      <c r="O116" s="13"/>
      <c r="P116" s="13"/>
      <c r="Q116" s="84"/>
      <c r="R116" s="84"/>
      <c r="S116" s="84"/>
      <c r="T116" s="46"/>
    </row>
    <row r="117" spans="1:20 16362:16362" s="31" customFormat="1" ht="37" customHeight="1" x14ac:dyDescent="0.35">
      <c r="A117" s="58" t="s">
        <v>74</v>
      </c>
      <c r="B117" s="92" t="s">
        <v>41</v>
      </c>
      <c r="C117" s="30">
        <v>1</v>
      </c>
      <c r="D117" s="30">
        <v>9600000</v>
      </c>
      <c r="E117" s="30">
        <f>D117/$A$3</f>
        <v>14635.105654791396</v>
      </c>
      <c r="F117" s="30">
        <f>C117*D117</f>
        <v>9600000</v>
      </c>
      <c r="G117" s="13">
        <f t="shared" ref="G117:G131" si="127">+F117/655.957</f>
        <v>14635.105654791396</v>
      </c>
      <c r="H117" s="30">
        <v>0</v>
      </c>
      <c r="I117" s="30">
        <v>9600000</v>
      </c>
      <c r="J117" s="30">
        <f>I117/$A$3</f>
        <v>14635.105654791396</v>
      </c>
      <c r="K117" s="30">
        <f>H117*I117</f>
        <v>0</v>
      </c>
      <c r="L117" s="13">
        <f t="shared" ref="L117" si="128">+K117/655.957</f>
        <v>0</v>
      </c>
      <c r="M117" s="30"/>
      <c r="N117" s="30"/>
      <c r="O117" s="30"/>
      <c r="P117" s="13">
        <v>2581847</v>
      </c>
      <c r="Q117" s="13">
        <f t="shared" ref="Q117:S141" si="129">+P117/655.957</f>
        <v>3936.0003780735628</v>
      </c>
      <c r="R117" s="13">
        <f>+K117-P117</f>
        <v>-2581847</v>
      </c>
      <c r="S117" s="13">
        <f t="shared" si="129"/>
        <v>-3936.0003780735628</v>
      </c>
      <c r="T117" s="46"/>
    </row>
    <row r="118" spans="1:20 16362:16362" s="31" customFormat="1" ht="37" customHeight="1" x14ac:dyDescent="0.35">
      <c r="A118" s="58" t="s">
        <v>128</v>
      </c>
      <c r="B118" s="92"/>
      <c r="C118" s="30"/>
      <c r="D118" s="30"/>
      <c r="E118" s="30"/>
      <c r="F118" s="30">
        <f>SUM(F119:F123)</f>
        <v>15000000</v>
      </c>
      <c r="G118" s="30">
        <f>SUM(G119:G123)</f>
        <v>22867.352585611559</v>
      </c>
      <c r="H118" s="30"/>
      <c r="I118" s="30"/>
      <c r="J118" s="30"/>
      <c r="K118" s="30">
        <f>SUM(K119:K123)</f>
        <v>3200000</v>
      </c>
      <c r="L118" s="30">
        <f>SUM(L119:L123)</f>
        <v>4878.368551597132</v>
      </c>
      <c r="M118" s="30"/>
      <c r="N118" s="30"/>
      <c r="O118" s="30">
        <f>SUM(O119:O123)</f>
        <v>3200000</v>
      </c>
      <c r="P118" s="30">
        <f>SUM(P119:P123)</f>
        <v>2228941.7429999998</v>
      </c>
      <c r="Q118" s="30">
        <f>SUM(Q119:Q123)</f>
        <v>3397.9997819979053</v>
      </c>
      <c r="R118" s="30">
        <f>SUM(R119:R123)</f>
        <v>971058.25699999998</v>
      </c>
      <c r="S118" s="30">
        <f>SUM(S119:S123)</f>
        <v>1480.3687695992267</v>
      </c>
      <c r="T118" s="46">
        <f>+P118/K118</f>
        <v>0.6965442946874999</v>
      </c>
    </row>
    <row r="119" spans="1:20 16362:16362" s="6" customFormat="1" ht="27.5" customHeight="1" x14ac:dyDescent="0.35">
      <c r="A119" s="72" t="s">
        <v>103</v>
      </c>
      <c r="B119" s="15" t="s">
        <v>41</v>
      </c>
      <c r="C119" s="25">
        <v>1</v>
      </c>
      <c r="D119" s="38">
        <v>500000</v>
      </c>
      <c r="E119" s="34">
        <f>D119/$A$3</f>
        <v>762.24508618705192</v>
      </c>
      <c r="F119" s="38">
        <f t="shared" ref="F119:F131" si="130">C119*D119</f>
        <v>500000</v>
      </c>
      <c r="G119" s="38">
        <f t="shared" si="127"/>
        <v>762.24508618705192</v>
      </c>
      <c r="H119" s="25">
        <v>1</v>
      </c>
      <c r="I119" s="38">
        <v>500000</v>
      </c>
      <c r="J119" s="34">
        <f>I119/$A$3</f>
        <v>762.24508618705192</v>
      </c>
      <c r="K119" s="38">
        <f t="shared" ref="K119:K124" si="131">H119*I119</f>
        <v>500000</v>
      </c>
      <c r="L119" s="38">
        <f t="shared" ref="L119:L124" si="132">+K119/655.957</f>
        <v>762.24508618705192</v>
      </c>
      <c r="M119" s="38"/>
      <c r="N119" s="38"/>
      <c r="O119" s="38">
        <f>+K119</f>
        <v>500000</v>
      </c>
      <c r="P119" s="38">
        <v>428340</v>
      </c>
      <c r="Q119" s="16">
        <f t="shared" si="129"/>
        <v>653.00012043472361</v>
      </c>
      <c r="R119" s="16">
        <f>+K119-P119</f>
        <v>71660</v>
      </c>
      <c r="S119" s="16">
        <f t="shared" ref="S119:S141" si="133">+R119/655.957</f>
        <v>109.24496575232828</v>
      </c>
      <c r="T119" s="43">
        <f>+P119/K119</f>
        <v>0.85668</v>
      </c>
    </row>
    <row r="120" spans="1:20 16362:16362" s="6" customFormat="1" ht="27.5" customHeight="1" x14ac:dyDescent="0.35">
      <c r="A120" s="72" t="s">
        <v>104</v>
      </c>
      <c r="B120" s="15" t="s">
        <v>41</v>
      </c>
      <c r="C120" s="25">
        <v>1</v>
      </c>
      <c r="D120" s="38">
        <v>1500000</v>
      </c>
      <c r="E120" s="34">
        <f>D120/$A$3</f>
        <v>2286.7352585611557</v>
      </c>
      <c r="F120" s="38">
        <f t="shared" si="130"/>
        <v>1500000</v>
      </c>
      <c r="G120" s="38">
        <f t="shared" si="127"/>
        <v>2286.7352585611557</v>
      </c>
      <c r="H120" s="25">
        <v>1</v>
      </c>
      <c r="I120" s="38">
        <v>1500000</v>
      </c>
      <c r="J120" s="34">
        <f>I120/$A$3</f>
        <v>2286.7352585611557</v>
      </c>
      <c r="K120" s="38">
        <f t="shared" si="131"/>
        <v>1500000</v>
      </c>
      <c r="L120" s="38">
        <f t="shared" si="132"/>
        <v>2286.7352585611557</v>
      </c>
      <c r="M120" s="38"/>
      <c r="N120" s="38"/>
      <c r="O120" s="38">
        <f t="shared" ref="O120:O123" si="134">+K120</f>
        <v>1500000</v>
      </c>
      <c r="P120" s="38">
        <v>1199745</v>
      </c>
      <c r="Q120" s="16">
        <f t="shared" si="129"/>
        <v>1828.9994618549692</v>
      </c>
      <c r="R120" s="16">
        <f>+K120-P120</f>
        <v>300255</v>
      </c>
      <c r="S120" s="16">
        <f t="shared" si="133"/>
        <v>457.73579670618653</v>
      </c>
      <c r="T120" s="43">
        <f>+P120/K120</f>
        <v>0.79983000000000004</v>
      </c>
    </row>
    <row r="121" spans="1:20 16362:16362" s="6" customFormat="1" ht="27.5" customHeight="1" x14ac:dyDescent="0.35">
      <c r="A121" s="72" t="s">
        <v>105</v>
      </c>
      <c r="B121" s="15" t="s">
        <v>41</v>
      </c>
      <c r="C121" s="25">
        <v>1</v>
      </c>
      <c r="D121" s="38">
        <v>600000</v>
      </c>
      <c r="E121" s="34">
        <f>D121/$A$3</f>
        <v>914.69410342446224</v>
      </c>
      <c r="F121" s="38">
        <f t="shared" si="130"/>
        <v>600000</v>
      </c>
      <c r="G121" s="38">
        <f t="shared" si="127"/>
        <v>914.69410342446224</v>
      </c>
      <c r="H121" s="25">
        <v>1</v>
      </c>
      <c r="I121" s="38">
        <v>600000</v>
      </c>
      <c r="J121" s="34">
        <f>I121/$A$3</f>
        <v>914.69410342446224</v>
      </c>
      <c r="K121" s="38">
        <f t="shared" si="131"/>
        <v>600000</v>
      </c>
      <c r="L121" s="38">
        <f t="shared" si="132"/>
        <v>914.69410342446224</v>
      </c>
      <c r="M121" s="38"/>
      <c r="N121" s="38"/>
      <c r="O121" s="38">
        <f t="shared" si="134"/>
        <v>600000</v>
      </c>
      <c r="P121" s="38">
        <v>535917</v>
      </c>
      <c r="Q121" s="16">
        <f t="shared" si="129"/>
        <v>817.00019970821256</v>
      </c>
      <c r="R121" s="16">
        <f>+K121-P121</f>
        <v>64083</v>
      </c>
      <c r="S121" s="16">
        <f t="shared" si="133"/>
        <v>97.693903716249693</v>
      </c>
      <c r="T121" s="43">
        <f>+P121/K121</f>
        <v>0.89319499999999996</v>
      </c>
    </row>
    <row r="122" spans="1:20 16362:16362" s="6" customFormat="1" ht="27.5" customHeight="1" x14ac:dyDescent="0.35">
      <c r="A122" s="72" t="s">
        <v>108</v>
      </c>
      <c r="B122" s="15" t="s">
        <v>62</v>
      </c>
      <c r="C122" s="25">
        <v>8</v>
      </c>
      <c r="D122" s="38">
        <v>300000</v>
      </c>
      <c r="E122" s="34">
        <f>D122/$A$3</f>
        <v>457.34705171223112</v>
      </c>
      <c r="F122" s="38">
        <f t="shared" si="130"/>
        <v>2400000</v>
      </c>
      <c r="G122" s="38">
        <f t="shared" si="127"/>
        <v>3658.776413697849</v>
      </c>
      <c r="H122" s="25">
        <v>2</v>
      </c>
      <c r="I122" s="38">
        <v>300000</v>
      </c>
      <c r="J122" s="34">
        <f>I122/$A$3</f>
        <v>457.34705171223112</v>
      </c>
      <c r="K122" s="38">
        <f>H122*I122</f>
        <v>600000</v>
      </c>
      <c r="L122" s="38">
        <f>+K122/655.957</f>
        <v>914.69410342446224</v>
      </c>
      <c r="M122" s="38"/>
      <c r="N122" s="38"/>
      <c r="O122" s="38">
        <f t="shared" si="134"/>
        <v>600000</v>
      </c>
      <c r="P122" s="38">
        <v>64939.743000000002</v>
      </c>
      <c r="Q122" s="16">
        <f t="shared" si="129"/>
        <v>99</v>
      </c>
      <c r="R122" s="16">
        <f>+K122-P122</f>
        <v>535060.25699999998</v>
      </c>
      <c r="S122" s="16">
        <f t="shared" si="133"/>
        <v>815.69410342446224</v>
      </c>
      <c r="T122" s="43">
        <f>+P122/K122</f>
        <v>0.108232905</v>
      </c>
    </row>
    <row r="123" spans="1:20 16362:16362" s="6" customFormat="1" ht="27.5" customHeight="1" x14ac:dyDescent="0.35">
      <c r="A123" s="72" t="s">
        <v>119</v>
      </c>
      <c r="B123" s="15" t="s">
        <v>41</v>
      </c>
      <c r="C123" s="25">
        <v>1</v>
      </c>
      <c r="D123" s="38">
        <v>10000000</v>
      </c>
      <c r="E123" s="34">
        <f>D123/$A$3</f>
        <v>15244.901723741039</v>
      </c>
      <c r="F123" s="38">
        <f t="shared" si="130"/>
        <v>10000000</v>
      </c>
      <c r="G123" s="38">
        <f t="shared" si="127"/>
        <v>15244.901723741039</v>
      </c>
      <c r="H123" s="25">
        <v>0</v>
      </c>
      <c r="I123" s="38">
        <v>10000000</v>
      </c>
      <c r="J123" s="34">
        <f>I123/$A$3</f>
        <v>15244.901723741039</v>
      </c>
      <c r="K123" s="38">
        <f t="shared" si="131"/>
        <v>0</v>
      </c>
      <c r="L123" s="38">
        <f t="shared" si="132"/>
        <v>0</v>
      </c>
      <c r="M123" s="38"/>
      <c r="N123" s="38"/>
      <c r="O123" s="38">
        <f t="shared" si="134"/>
        <v>0</v>
      </c>
      <c r="P123" s="38"/>
      <c r="Q123" s="16">
        <f t="shared" si="129"/>
        <v>0</v>
      </c>
      <c r="R123" s="16">
        <f>+K123-P123</f>
        <v>0</v>
      </c>
      <c r="S123" s="16">
        <f t="shared" si="133"/>
        <v>0</v>
      </c>
      <c r="T123" s="52" t="e">
        <f>+P123/K123</f>
        <v>#DIV/0!</v>
      </c>
    </row>
    <row r="124" spans="1:20 16362:16362" s="31" customFormat="1" ht="38.5" customHeight="1" collapsed="1" x14ac:dyDescent="0.35">
      <c r="A124" s="58" t="s">
        <v>88</v>
      </c>
      <c r="B124" s="92" t="s">
        <v>41</v>
      </c>
      <c r="C124" s="30">
        <v>0</v>
      </c>
      <c r="D124" s="30">
        <v>0</v>
      </c>
      <c r="E124" s="30"/>
      <c r="F124" s="30">
        <f t="shared" si="130"/>
        <v>0</v>
      </c>
      <c r="G124" s="30">
        <f t="shared" si="127"/>
        <v>0</v>
      </c>
      <c r="H124" s="30">
        <v>0</v>
      </c>
      <c r="I124" s="30">
        <v>0</v>
      </c>
      <c r="J124" s="30"/>
      <c r="K124" s="30">
        <f t="shared" si="131"/>
        <v>0</v>
      </c>
      <c r="L124" s="30">
        <f t="shared" si="132"/>
        <v>0</v>
      </c>
      <c r="M124" s="30"/>
      <c r="N124" s="30"/>
      <c r="O124" s="30"/>
      <c r="P124" s="30"/>
      <c r="Q124" s="13"/>
      <c r="R124" s="13"/>
      <c r="S124" s="13"/>
      <c r="T124" s="46"/>
    </row>
    <row r="125" spans="1:20 16362:16362" s="31" customFormat="1" ht="38.5" customHeight="1" x14ac:dyDescent="0.35">
      <c r="A125" s="58" t="s">
        <v>129</v>
      </c>
      <c r="B125" s="92" t="s">
        <v>41</v>
      </c>
      <c r="C125" s="30">
        <v>0</v>
      </c>
      <c r="D125" s="30"/>
      <c r="E125" s="30"/>
      <c r="F125" s="30">
        <f>SUM(F126:F131)</f>
        <v>308000000</v>
      </c>
      <c r="G125" s="30">
        <f>SUM(G126:G131)</f>
        <v>469542.97309122403</v>
      </c>
      <c r="H125" s="30">
        <v>0</v>
      </c>
      <c r="I125" s="30"/>
      <c r="J125" s="30"/>
      <c r="K125" s="30">
        <f t="shared" ref="K125:S125" si="135">SUM(K126:K131)</f>
        <v>92000000</v>
      </c>
      <c r="L125" s="30">
        <f t="shared" si="135"/>
        <v>140253.09585841757</v>
      </c>
      <c r="M125" s="30">
        <f t="shared" si="135"/>
        <v>0</v>
      </c>
      <c r="N125" s="30">
        <f t="shared" si="135"/>
        <v>92000000</v>
      </c>
      <c r="O125" s="30">
        <f t="shared" si="135"/>
        <v>0</v>
      </c>
      <c r="P125" s="30">
        <f t="shared" si="135"/>
        <v>83590470</v>
      </c>
      <c r="Q125" s="30">
        <f t="shared" si="135"/>
        <v>127432.85001913235</v>
      </c>
      <c r="R125" s="30">
        <f t="shared" si="135"/>
        <v>8409530</v>
      </c>
      <c r="S125" s="30">
        <f t="shared" si="135"/>
        <v>12820.2458392852</v>
      </c>
      <c r="T125" s="46"/>
    </row>
    <row r="126" spans="1:20 16362:16362" s="36" customFormat="1" ht="27.5" customHeight="1" x14ac:dyDescent="0.35">
      <c r="A126" s="71" t="s">
        <v>135</v>
      </c>
      <c r="B126" s="26" t="s">
        <v>41</v>
      </c>
      <c r="C126" s="34">
        <v>3</v>
      </c>
      <c r="D126" s="34">
        <v>4000000</v>
      </c>
      <c r="E126" s="34">
        <f t="shared" ref="E126:E131" si="136">D126/$A$3</f>
        <v>6097.9606894964154</v>
      </c>
      <c r="F126" s="34">
        <f t="shared" si="130"/>
        <v>12000000</v>
      </c>
      <c r="G126" s="34">
        <f t="shared" si="127"/>
        <v>18293.882068489245</v>
      </c>
      <c r="H126" s="34">
        <v>2</v>
      </c>
      <c r="I126" s="34">
        <v>4000000</v>
      </c>
      <c r="J126" s="34">
        <f t="shared" ref="J126:J131" si="137">I126/$A$3</f>
        <v>6097.9606894964154</v>
      </c>
      <c r="K126" s="34">
        <f t="shared" ref="K126:K127" si="138">H126*I126</f>
        <v>8000000</v>
      </c>
      <c r="L126" s="34">
        <f t="shared" ref="L126:L127" si="139">+K126/655.957</f>
        <v>12195.921378992831</v>
      </c>
      <c r="M126" s="34"/>
      <c r="N126" s="34">
        <f>+K126</f>
        <v>8000000</v>
      </c>
      <c r="O126" s="34"/>
      <c r="P126" s="34">
        <v>5960190</v>
      </c>
      <c r="Q126" s="16">
        <f t="shared" si="129"/>
        <v>9086.2510804824105</v>
      </c>
      <c r="R126" s="16">
        <f t="shared" ref="R126:R131" si="140">+K126-P126</f>
        <v>2039810</v>
      </c>
      <c r="S126" s="16">
        <f t="shared" si="133"/>
        <v>3109.6702985104207</v>
      </c>
      <c r="T126" s="43">
        <f>+P126/K126</f>
        <v>0.74502374999999998</v>
      </c>
      <c r="XEH126" s="36">
        <f>SUM(C126:XEG126)</f>
        <v>44054887.391229212</v>
      </c>
    </row>
    <row r="127" spans="1:20 16362:16362" s="36" customFormat="1" ht="27.5" customHeight="1" x14ac:dyDescent="0.35">
      <c r="A127" s="71" t="s">
        <v>130</v>
      </c>
      <c r="B127" s="26" t="s">
        <v>41</v>
      </c>
      <c r="C127" s="34">
        <v>5</v>
      </c>
      <c r="D127" s="34">
        <v>45000000</v>
      </c>
      <c r="E127" s="34">
        <f t="shared" si="136"/>
        <v>68602.057756834678</v>
      </c>
      <c r="F127" s="34">
        <f t="shared" si="130"/>
        <v>225000000</v>
      </c>
      <c r="G127" s="34">
        <f t="shared" si="127"/>
        <v>343010.28878417338</v>
      </c>
      <c r="H127" s="34">
        <v>1</v>
      </c>
      <c r="I127" s="34">
        <v>45000000</v>
      </c>
      <c r="J127" s="34">
        <f t="shared" si="137"/>
        <v>68602.057756834678</v>
      </c>
      <c r="K127" s="34">
        <f t="shared" si="138"/>
        <v>45000000</v>
      </c>
      <c r="L127" s="34">
        <f t="shared" si="139"/>
        <v>68602.057756834678</v>
      </c>
      <c r="M127" s="34"/>
      <c r="N127" s="34">
        <f t="shared" ref="N127:N131" si="141">+K127</f>
        <v>45000000</v>
      </c>
      <c r="O127" s="34"/>
      <c r="P127" s="34">
        <v>46383713</v>
      </c>
      <c r="Q127" s="16">
        <f t="shared" si="129"/>
        <v>70711.514626720964</v>
      </c>
      <c r="R127" s="16">
        <f t="shared" si="140"/>
        <v>-1383713</v>
      </c>
      <c r="S127" s="16">
        <f t="shared" si="133"/>
        <v>-2109.4568698862881</v>
      </c>
      <c r="T127" s="43">
        <f>+P127/K127</f>
        <v>1.0307491777777777</v>
      </c>
      <c r="XEH127" s="36">
        <f>SUM(C127:XEG127)</f>
        <v>450617425.55056071</v>
      </c>
    </row>
    <row r="128" spans="1:20 16362:16362" s="6" customFormat="1" ht="27.5" customHeight="1" collapsed="1" x14ac:dyDescent="0.35">
      <c r="A128" s="71" t="s">
        <v>131</v>
      </c>
      <c r="B128" s="15" t="s">
        <v>0</v>
      </c>
      <c r="C128" s="25">
        <v>1</v>
      </c>
      <c r="D128" s="38">
        <v>5000000</v>
      </c>
      <c r="E128" s="34">
        <f t="shared" si="136"/>
        <v>7622.4508618705195</v>
      </c>
      <c r="F128" s="38">
        <f>C128*D128</f>
        <v>5000000</v>
      </c>
      <c r="G128" s="38">
        <f>F128/$A$3</f>
        <v>7622.4508618705195</v>
      </c>
      <c r="H128" s="25">
        <v>1</v>
      </c>
      <c r="I128" s="38">
        <v>5000000</v>
      </c>
      <c r="J128" s="34">
        <f t="shared" si="137"/>
        <v>7622.4508618705195</v>
      </c>
      <c r="K128" s="38">
        <f>H128*I128</f>
        <v>5000000</v>
      </c>
      <c r="L128" s="38">
        <f>K128/$A$3</f>
        <v>7622.4508618705195</v>
      </c>
      <c r="M128" s="38"/>
      <c r="N128" s="34">
        <f t="shared" si="141"/>
        <v>5000000</v>
      </c>
      <c r="O128" s="38"/>
      <c r="P128" s="38"/>
      <c r="Q128" s="16">
        <f t="shared" si="129"/>
        <v>0</v>
      </c>
      <c r="R128" s="16">
        <f t="shared" si="140"/>
        <v>5000000</v>
      </c>
      <c r="S128" s="16">
        <f t="shared" si="133"/>
        <v>7622.4508618705195</v>
      </c>
      <c r="T128" s="43">
        <f>+P128/K128</f>
        <v>0</v>
      </c>
    </row>
    <row r="129" spans="1:20 16362:16362" s="36" customFormat="1" ht="27.5" customHeight="1" x14ac:dyDescent="0.35">
      <c r="A129" s="71" t="s">
        <v>132</v>
      </c>
      <c r="B129" s="26" t="s">
        <v>41</v>
      </c>
      <c r="C129" s="34">
        <v>8</v>
      </c>
      <c r="D129" s="34">
        <v>3000000</v>
      </c>
      <c r="E129" s="34">
        <f t="shared" si="136"/>
        <v>4573.4705171223113</v>
      </c>
      <c r="F129" s="34">
        <f t="shared" si="130"/>
        <v>24000000</v>
      </c>
      <c r="G129" s="34">
        <f t="shared" si="127"/>
        <v>36587.764136978491</v>
      </c>
      <c r="H129" s="34">
        <v>2</v>
      </c>
      <c r="I129" s="34">
        <v>3000000</v>
      </c>
      <c r="J129" s="34">
        <f t="shared" si="137"/>
        <v>4573.4705171223113</v>
      </c>
      <c r="K129" s="34">
        <f t="shared" ref="K129:K131" si="142">H129*I129</f>
        <v>6000000</v>
      </c>
      <c r="L129" s="34">
        <f t="shared" ref="L129:L131" si="143">+K129/655.957</f>
        <v>9146.9410342446226</v>
      </c>
      <c r="M129" s="34"/>
      <c r="N129" s="34">
        <f t="shared" si="141"/>
        <v>6000000</v>
      </c>
      <c r="O129" s="34"/>
      <c r="P129" s="34">
        <v>5601617</v>
      </c>
      <c r="Q129" s="16">
        <f t="shared" si="129"/>
        <v>8539.6100659037111</v>
      </c>
      <c r="R129" s="16">
        <f t="shared" si="140"/>
        <v>398383</v>
      </c>
      <c r="S129" s="16">
        <f t="shared" si="133"/>
        <v>607.33096834091259</v>
      </c>
      <c r="T129" s="43">
        <f>+P129/K129</f>
        <v>0.93360283333333338</v>
      </c>
      <c r="XEH129" s="36">
        <f>SUM(C129:XEG129)</f>
        <v>48064039.520842545</v>
      </c>
    </row>
    <row r="130" spans="1:20 16362:16362" s="36" customFormat="1" ht="27.5" customHeight="1" x14ac:dyDescent="0.35">
      <c r="A130" s="71" t="s">
        <v>133</v>
      </c>
      <c r="B130" s="26" t="s">
        <v>41</v>
      </c>
      <c r="C130" s="34">
        <v>4</v>
      </c>
      <c r="D130" s="34">
        <v>3500000</v>
      </c>
      <c r="E130" s="34">
        <f t="shared" si="136"/>
        <v>5335.7156033093634</v>
      </c>
      <c r="F130" s="34">
        <f t="shared" si="130"/>
        <v>14000000</v>
      </c>
      <c r="G130" s="34">
        <f t="shared" si="127"/>
        <v>21342.862413237453</v>
      </c>
      <c r="H130" s="34">
        <v>4</v>
      </c>
      <c r="I130" s="34">
        <v>3500000</v>
      </c>
      <c r="J130" s="34">
        <f t="shared" si="137"/>
        <v>5335.7156033093634</v>
      </c>
      <c r="K130" s="34">
        <f t="shared" si="142"/>
        <v>14000000</v>
      </c>
      <c r="L130" s="34">
        <f t="shared" si="143"/>
        <v>21342.862413237453</v>
      </c>
      <c r="M130" s="34"/>
      <c r="N130" s="34">
        <f t="shared" si="141"/>
        <v>14000000</v>
      </c>
      <c r="O130" s="34"/>
      <c r="P130" s="34">
        <v>11647350</v>
      </c>
      <c r="Q130" s="16">
        <f t="shared" si="129"/>
        <v>17756.270609201518</v>
      </c>
      <c r="R130" s="16">
        <f t="shared" si="140"/>
        <v>2352650</v>
      </c>
      <c r="S130" s="16">
        <f t="shared" si="133"/>
        <v>3586.5918040359352</v>
      </c>
      <c r="T130" s="43">
        <f>+P130/K130</f>
        <v>0.8319535714285714</v>
      </c>
      <c r="XEH130" s="36">
        <f>SUM(C130:XEG130)</f>
        <v>63074708.850399897</v>
      </c>
    </row>
    <row r="131" spans="1:20 16362:16362" s="36" customFormat="1" ht="27.5" customHeight="1" x14ac:dyDescent="0.35">
      <c r="A131" s="71" t="s">
        <v>134</v>
      </c>
      <c r="B131" s="26" t="s">
        <v>41</v>
      </c>
      <c r="C131" s="34">
        <v>4</v>
      </c>
      <c r="D131" s="34">
        <v>7000000</v>
      </c>
      <c r="E131" s="34">
        <f t="shared" si="136"/>
        <v>10671.431206618727</v>
      </c>
      <c r="F131" s="34">
        <f t="shared" si="130"/>
        <v>28000000</v>
      </c>
      <c r="G131" s="34">
        <f t="shared" si="127"/>
        <v>42685.724826474907</v>
      </c>
      <c r="H131" s="34">
        <v>2</v>
      </c>
      <c r="I131" s="34">
        <v>7000000</v>
      </c>
      <c r="J131" s="34">
        <f t="shared" si="137"/>
        <v>10671.431206618727</v>
      </c>
      <c r="K131" s="34">
        <f t="shared" si="142"/>
        <v>14000000</v>
      </c>
      <c r="L131" s="34">
        <f t="shared" si="143"/>
        <v>21342.862413237453</v>
      </c>
      <c r="M131" s="34"/>
      <c r="N131" s="34">
        <f t="shared" si="141"/>
        <v>14000000</v>
      </c>
      <c r="O131" s="34"/>
      <c r="P131" s="34">
        <v>13997600</v>
      </c>
      <c r="Q131" s="16">
        <f t="shared" si="129"/>
        <v>21339.203636823757</v>
      </c>
      <c r="R131" s="16">
        <f t="shared" si="140"/>
        <v>2400</v>
      </c>
      <c r="S131" s="16">
        <f t="shared" si="133"/>
        <v>3.6587764136978493</v>
      </c>
      <c r="T131" s="43">
        <f>+P131/K131</f>
        <v>0.9998285714285714</v>
      </c>
      <c r="XEH131" s="36">
        <f>SUM(C131:XEG131)</f>
        <v>84106721.311894774</v>
      </c>
    </row>
    <row r="132" spans="1:20 16362:16362" s="31" customFormat="1" ht="27.5" customHeight="1" collapsed="1" x14ac:dyDescent="0.35">
      <c r="A132" s="58" t="s">
        <v>136</v>
      </c>
      <c r="B132" s="92" t="s">
        <v>41</v>
      </c>
      <c r="C132" s="30"/>
      <c r="D132" s="30"/>
      <c r="E132" s="30"/>
      <c r="F132" s="30">
        <f>SUM(F133:F138)</f>
        <v>69915000</v>
      </c>
      <c r="G132" s="30">
        <f>SUM(G133:G138)</f>
        <v>106584.73040153547</v>
      </c>
      <c r="H132" s="30">
        <f t="shared" ref="H132:S132" si="144">SUM(H133:H138)</f>
        <v>3</v>
      </c>
      <c r="I132" s="30">
        <f t="shared" si="144"/>
        <v>69915000</v>
      </c>
      <c r="J132" s="30">
        <f t="shared" si="144"/>
        <v>106584.73040153547</v>
      </c>
      <c r="K132" s="30">
        <f t="shared" si="144"/>
        <v>34957500</v>
      </c>
      <c r="L132" s="30">
        <f t="shared" si="144"/>
        <v>53292.365200767737</v>
      </c>
      <c r="M132" s="30">
        <f t="shared" si="144"/>
        <v>0</v>
      </c>
      <c r="N132" s="30">
        <f t="shared" si="144"/>
        <v>0</v>
      </c>
      <c r="O132" s="30">
        <f t="shared" si="144"/>
        <v>34957500</v>
      </c>
      <c r="P132" s="30">
        <f t="shared" si="144"/>
        <v>29391465.299000002</v>
      </c>
      <c r="Q132" s="30">
        <f t="shared" si="144"/>
        <v>44807</v>
      </c>
      <c r="R132" s="30">
        <f t="shared" si="144"/>
        <v>5566034.7009999994</v>
      </c>
      <c r="S132" s="30">
        <f t="shared" si="144"/>
        <v>8485.3652007677338</v>
      </c>
      <c r="T132" s="46"/>
    </row>
    <row r="133" spans="1:20 16362:16362" s="36" customFormat="1" ht="27.5" customHeight="1" x14ac:dyDescent="0.35">
      <c r="A133" s="71" t="s">
        <v>137</v>
      </c>
      <c r="B133" s="26" t="s">
        <v>41</v>
      </c>
      <c r="C133" s="34">
        <v>1</v>
      </c>
      <c r="D133" s="34">
        <v>500000</v>
      </c>
      <c r="E133" s="34">
        <f t="shared" ref="E133:E141" si="145">D133/$A$3</f>
        <v>762.24508618705192</v>
      </c>
      <c r="F133" s="34">
        <f t="shared" ref="F133:F137" si="146">C133*D133</f>
        <v>500000</v>
      </c>
      <c r="G133" s="34">
        <f t="shared" ref="G133:G141" si="147">+F133/655.957</f>
        <v>762.24508618705192</v>
      </c>
      <c r="H133" s="34">
        <v>0.5</v>
      </c>
      <c r="I133" s="34">
        <v>500000</v>
      </c>
      <c r="J133" s="34">
        <f t="shared" ref="J133:J141" si="148">I133/$A$3</f>
        <v>762.24508618705192</v>
      </c>
      <c r="K133" s="34">
        <f t="shared" ref="K133:K137" si="149">H133*I133</f>
        <v>250000</v>
      </c>
      <c r="L133" s="34">
        <f t="shared" ref="L133:L141" si="150">+K133/655.957</f>
        <v>381.12254309352596</v>
      </c>
      <c r="M133" s="34"/>
      <c r="N133" s="34"/>
      <c r="O133" s="34">
        <f>+K133</f>
        <v>250000</v>
      </c>
      <c r="P133" s="34"/>
      <c r="Q133" s="16">
        <f t="shared" si="129"/>
        <v>0</v>
      </c>
      <c r="R133" s="16">
        <f t="shared" ref="R133:R141" si="151">+K133-P133</f>
        <v>250000</v>
      </c>
      <c r="S133" s="16">
        <f t="shared" si="133"/>
        <v>381.12254309352596</v>
      </c>
      <c r="T133" s="43">
        <f>+P133/K133</f>
        <v>0</v>
      </c>
    </row>
    <row r="134" spans="1:20 16362:16362" s="36" customFormat="1" ht="27.5" customHeight="1" x14ac:dyDescent="0.35">
      <c r="A134" s="71" t="s">
        <v>138</v>
      </c>
      <c r="B134" s="26" t="s">
        <v>41</v>
      </c>
      <c r="C134" s="34">
        <v>1</v>
      </c>
      <c r="D134" s="34">
        <v>1815000</v>
      </c>
      <c r="E134" s="34">
        <f t="shared" si="145"/>
        <v>2766.9496628589982</v>
      </c>
      <c r="F134" s="34">
        <f t="shared" si="146"/>
        <v>1815000</v>
      </c>
      <c r="G134" s="34">
        <f t="shared" si="147"/>
        <v>2766.9496628589982</v>
      </c>
      <c r="H134" s="34">
        <v>0.5</v>
      </c>
      <c r="I134" s="34">
        <v>1815000</v>
      </c>
      <c r="J134" s="34">
        <f t="shared" si="148"/>
        <v>2766.9496628589982</v>
      </c>
      <c r="K134" s="34">
        <f t="shared" si="149"/>
        <v>907500</v>
      </c>
      <c r="L134" s="34">
        <f t="shared" si="150"/>
        <v>1383.4748314294991</v>
      </c>
      <c r="M134" s="34"/>
      <c r="N134" s="34"/>
      <c r="O134" s="34">
        <f t="shared" ref="O134:O138" si="152">+K134</f>
        <v>907500</v>
      </c>
      <c r="P134" s="34">
        <v>453266.28700000001</v>
      </c>
      <c r="Q134" s="16">
        <f t="shared" si="129"/>
        <v>691</v>
      </c>
      <c r="R134" s="16">
        <f t="shared" si="151"/>
        <v>454233.71299999999</v>
      </c>
      <c r="S134" s="16">
        <f t="shared" si="133"/>
        <v>692.4748314294992</v>
      </c>
      <c r="T134" s="43">
        <f>+P134/K134</f>
        <v>0.49946698292011021</v>
      </c>
    </row>
    <row r="135" spans="1:20 16362:16362" s="36" customFormat="1" ht="27.5" customHeight="1" x14ac:dyDescent="0.35">
      <c r="A135" s="71" t="s">
        <v>139</v>
      </c>
      <c r="B135" s="26" t="s">
        <v>41</v>
      </c>
      <c r="C135" s="34">
        <v>1</v>
      </c>
      <c r="D135" s="34">
        <v>33000000</v>
      </c>
      <c r="E135" s="34">
        <f t="shared" si="145"/>
        <v>50308.175688345429</v>
      </c>
      <c r="F135" s="34">
        <f t="shared" si="146"/>
        <v>33000000</v>
      </c>
      <c r="G135" s="34">
        <f t="shared" si="147"/>
        <v>50308.175688345429</v>
      </c>
      <c r="H135" s="34">
        <v>0.5</v>
      </c>
      <c r="I135" s="34">
        <v>33000000</v>
      </c>
      <c r="J135" s="34">
        <f t="shared" si="148"/>
        <v>50308.175688345429</v>
      </c>
      <c r="K135" s="34">
        <f t="shared" si="149"/>
        <v>16500000</v>
      </c>
      <c r="L135" s="34">
        <f t="shared" si="150"/>
        <v>25154.087844172715</v>
      </c>
      <c r="M135" s="34"/>
      <c r="N135" s="34"/>
      <c r="O135" s="34">
        <f t="shared" si="152"/>
        <v>16500000</v>
      </c>
      <c r="P135" s="34">
        <v>16981414.816</v>
      </c>
      <c r="Q135" s="16">
        <f t="shared" si="129"/>
        <v>25888</v>
      </c>
      <c r="R135" s="16">
        <f t="shared" si="151"/>
        <v>-481414.81599999964</v>
      </c>
      <c r="S135" s="16">
        <f t="shared" si="133"/>
        <v>-733.91215582728694</v>
      </c>
      <c r="T135" s="43">
        <f>+P135/K135</f>
        <v>1.0291766555151516</v>
      </c>
    </row>
    <row r="136" spans="1:20 16362:16362" s="36" customFormat="1" ht="27.5" customHeight="1" x14ac:dyDescent="0.35">
      <c r="A136" s="71" t="s">
        <v>140</v>
      </c>
      <c r="B136" s="26" t="s">
        <v>41</v>
      </c>
      <c r="C136" s="34">
        <v>1</v>
      </c>
      <c r="D136" s="34">
        <v>4600000</v>
      </c>
      <c r="E136" s="34">
        <f t="shared" si="145"/>
        <v>7012.6547929208773</v>
      </c>
      <c r="F136" s="34">
        <f t="shared" si="146"/>
        <v>4600000</v>
      </c>
      <c r="G136" s="34">
        <f t="shared" si="147"/>
        <v>7012.6547929208773</v>
      </c>
      <c r="H136" s="34">
        <v>0.5</v>
      </c>
      <c r="I136" s="34">
        <v>4600000</v>
      </c>
      <c r="J136" s="34">
        <f t="shared" si="148"/>
        <v>7012.6547929208773</v>
      </c>
      <c r="K136" s="34">
        <f t="shared" si="149"/>
        <v>2300000</v>
      </c>
      <c r="L136" s="34">
        <f t="shared" si="150"/>
        <v>3506.3273964604386</v>
      </c>
      <c r="M136" s="34"/>
      <c r="N136" s="34"/>
      <c r="O136" s="34">
        <f t="shared" si="152"/>
        <v>2300000</v>
      </c>
      <c r="P136" s="34">
        <v>2344390.318</v>
      </c>
      <c r="Q136" s="16">
        <f t="shared" si="129"/>
        <v>3574</v>
      </c>
      <c r="R136" s="16">
        <f t="shared" si="151"/>
        <v>-44390.31799999997</v>
      </c>
      <c r="S136" s="16">
        <f t="shared" si="133"/>
        <v>-67.672603539561237</v>
      </c>
      <c r="T136" s="43">
        <f>+P136/K136</f>
        <v>1.0193001382608695</v>
      </c>
    </row>
    <row r="137" spans="1:20 16362:16362" s="36" customFormat="1" ht="27.5" customHeight="1" x14ac:dyDescent="0.35">
      <c r="A137" s="71" t="s">
        <v>141</v>
      </c>
      <c r="B137" s="26" t="s">
        <v>41</v>
      </c>
      <c r="C137" s="34">
        <v>1</v>
      </c>
      <c r="D137" s="34">
        <v>10000000</v>
      </c>
      <c r="E137" s="34">
        <f t="shared" si="145"/>
        <v>15244.901723741039</v>
      </c>
      <c r="F137" s="34">
        <f t="shared" si="146"/>
        <v>10000000</v>
      </c>
      <c r="G137" s="34">
        <f t="shared" si="147"/>
        <v>15244.901723741039</v>
      </c>
      <c r="H137" s="34">
        <v>0.5</v>
      </c>
      <c r="I137" s="34">
        <v>10000000</v>
      </c>
      <c r="J137" s="34">
        <f t="shared" si="148"/>
        <v>15244.901723741039</v>
      </c>
      <c r="K137" s="34">
        <f t="shared" si="149"/>
        <v>5000000</v>
      </c>
      <c r="L137" s="34">
        <f t="shared" si="150"/>
        <v>7622.4508618705195</v>
      </c>
      <c r="M137" s="34"/>
      <c r="N137" s="34"/>
      <c r="O137" s="34">
        <f t="shared" si="152"/>
        <v>5000000</v>
      </c>
      <c r="P137" s="34"/>
      <c r="Q137" s="16">
        <f t="shared" si="129"/>
        <v>0</v>
      </c>
      <c r="R137" s="16">
        <f t="shared" si="151"/>
        <v>5000000</v>
      </c>
      <c r="S137" s="16">
        <f t="shared" si="133"/>
        <v>7622.4508618705195</v>
      </c>
      <c r="T137" s="43">
        <f>+P137/K137</f>
        <v>0</v>
      </c>
    </row>
    <row r="138" spans="1:20 16362:16362" s="35" customFormat="1" ht="39" customHeight="1" collapsed="1" x14ac:dyDescent="0.35">
      <c r="A138" s="71" t="s">
        <v>145</v>
      </c>
      <c r="B138" s="26" t="s">
        <v>41</v>
      </c>
      <c r="C138" s="34">
        <v>1</v>
      </c>
      <c r="D138" s="34">
        <v>20000000</v>
      </c>
      <c r="E138" s="34">
        <f t="shared" si="145"/>
        <v>30489.803447482078</v>
      </c>
      <c r="F138" s="34">
        <f>C138*D138</f>
        <v>20000000</v>
      </c>
      <c r="G138" s="34">
        <f t="shared" si="147"/>
        <v>30489.803447482078</v>
      </c>
      <c r="H138" s="34">
        <v>0.5</v>
      </c>
      <c r="I138" s="34">
        <v>20000000</v>
      </c>
      <c r="J138" s="34">
        <f t="shared" si="148"/>
        <v>30489.803447482078</v>
      </c>
      <c r="K138" s="34">
        <f>H138*I138</f>
        <v>10000000</v>
      </c>
      <c r="L138" s="34">
        <f t="shared" si="150"/>
        <v>15244.901723741039</v>
      </c>
      <c r="M138" s="34"/>
      <c r="N138" s="34" t="s">
        <v>0</v>
      </c>
      <c r="O138" s="34">
        <f t="shared" si="152"/>
        <v>10000000</v>
      </c>
      <c r="P138" s="34">
        <v>9612393.8780000005</v>
      </c>
      <c r="Q138" s="16">
        <f t="shared" si="129"/>
        <v>14654</v>
      </c>
      <c r="R138" s="16">
        <f t="shared" si="151"/>
        <v>387606.12199999951</v>
      </c>
      <c r="S138" s="16">
        <f t="shared" si="133"/>
        <v>590.90172374103713</v>
      </c>
      <c r="T138" s="43">
        <f>+P138/K138</f>
        <v>0.96123938780000007</v>
      </c>
    </row>
    <row r="139" spans="1:20 16362:16362" s="31" customFormat="1" ht="40.5" customHeight="1" x14ac:dyDescent="0.35">
      <c r="A139" s="58" t="s">
        <v>142</v>
      </c>
      <c r="B139" s="92" t="s">
        <v>41</v>
      </c>
      <c r="C139" s="30">
        <v>1</v>
      </c>
      <c r="D139" s="30">
        <v>17000000</v>
      </c>
      <c r="E139" s="30">
        <f t="shared" si="145"/>
        <v>25916.332930359764</v>
      </c>
      <c r="F139" s="30">
        <f>C139*D139</f>
        <v>17000000</v>
      </c>
      <c r="G139" s="30">
        <f t="shared" si="147"/>
        <v>25916.332930359764</v>
      </c>
      <c r="H139" s="30">
        <v>0</v>
      </c>
      <c r="I139" s="30">
        <v>17000000</v>
      </c>
      <c r="J139" s="30">
        <f t="shared" si="148"/>
        <v>25916.332930359764</v>
      </c>
      <c r="K139" s="30">
        <f>H139*I139</f>
        <v>0</v>
      </c>
      <c r="L139" s="30">
        <f t="shared" si="150"/>
        <v>0</v>
      </c>
      <c r="M139" s="30"/>
      <c r="N139" s="30"/>
      <c r="O139" s="30"/>
      <c r="P139" s="30"/>
      <c r="Q139" s="13">
        <f t="shared" si="129"/>
        <v>0</v>
      </c>
      <c r="R139" s="13">
        <f t="shared" si="151"/>
        <v>0</v>
      </c>
      <c r="S139" s="13">
        <f t="shared" si="133"/>
        <v>0</v>
      </c>
      <c r="T139" s="46">
        <v>0</v>
      </c>
    </row>
    <row r="140" spans="1:20 16362:16362" s="31" customFormat="1" ht="34" customHeight="1" collapsed="1" x14ac:dyDescent="0.35">
      <c r="A140" s="58" t="s">
        <v>143</v>
      </c>
      <c r="B140" s="12" t="s">
        <v>41</v>
      </c>
      <c r="C140" s="3">
        <v>1</v>
      </c>
      <c r="D140" s="13">
        <v>15000000</v>
      </c>
      <c r="E140" s="30">
        <f t="shared" si="145"/>
        <v>22867.352585611556</v>
      </c>
      <c r="F140" s="13">
        <f>C140*D140</f>
        <v>15000000</v>
      </c>
      <c r="G140" s="13">
        <f t="shared" si="147"/>
        <v>22867.352585611556</v>
      </c>
      <c r="H140" s="3">
        <f>1/3</f>
        <v>0.33333333333333331</v>
      </c>
      <c r="I140" s="13">
        <v>15000000</v>
      </c>
      <c r="J140" s="30">
        <f t="shared" si="148"/>
        <v>22867.352585611556</v>
      </c>
      <c r="K140" s="13">
        <f>H140*I140</f>
        <v>5000000</v>
      </c>
      <c r="L140" s="13">
        <f t="shared" si="150"/>
        <v>7622.4508618705195</v>
      </c>
      <c r="M140" s="13"/>
      <c r="N140" s="13"/>
      <c r="O140" s="13">
        <f>+K140</f>
        <v>5000000</v>
      </c>
      <c r="P140" s="13">
        <v>1138085.395</v>
      </c>
      <c r="Q140" s="13">
        <f t="shared" si="129"/>
        <v>1735</v>
      </c>
      <c r="R140" s="13">
        <f t="shared" si="151"/>
        <v>3861914.605</v>
      </c>
      <c r="S140" s="13">
        <f t="shared" si="133"/>
        <v>5887.4508618705186</v>
      </c>
      <c r="T140" s="46">
        <f>+P140/K140</f>
        <v>0.227617079</v>
      </c>
    </row>
    <row r="141" spans="1:20 16362:16362" s="31" customFormat="1" ht="27.5" customHeight="1" x14ac:dyDescent="0.35">
      <c r="A141" s="58" t="s">
        <v>169</v>
      </c>
      <c r="B141" s="12" t="s">
        <v>41</v>
      </c>
      <c r="C141" s="3">
        <v>1</v>
      </c>
      <c r="D141" s="13">
        <v>60000000</v>
      </c>
      <c r="E141" s="30">
        <f t="shared" si="145"/>
        <v>91469.410342446223</v>
      </c>
      <c r="F141" s="13">
        <f>C141*D141</f>
        <v>60000000</v>
      </c>
      <c r="G141" s="13">
        <f t="shared" si="147"/>
        <v>91469.410342446223</v>
      </c>
      <c r="H141" s="3">
        <v>0.5</v>
      </c>
      <c r="I141" s="13">
        <v>60000000</v>
      </c>
      <c r="J141" s="30">
        <f t="shared" si="148"/>
        <v>91469.410342446223</v>
      </c>
      <c r="K141" s="13">
        <f>H141*I141</f>
        <v>30000000</v>
      </c>
      <c r="L141" s="13">
        <f t="shared" si="150"/>
        <v>45734.705171223111</v>
      </c>
      <c r="M141" s="13"/>
      <c r="N141" s="30">
        <f>+K141</f>
        <v>30000000</v>
      </c>
      <c r="O141" s="13">
        <v>0</v>
      </c>
      <c r="P141" s="13">
        <f>12670268+16720836</f>
        <v>29391104</v>
      </c>
      <c r="Q141" s="13">
        <f t="shared" si="129"/>
        <v>44806.449203225209</v>
      </c>
      <c r="R141" s="13">
        <f t="shared" si="151"/>
        <v>608896</v>
      </c>
      <c r="S141" s="13">
        <f t="shared" si="133"/>
        <v>928.2559679979023</v>
      </c>
      <c r="T141" s="46">
        <f>+P141/K141</f>
        <v>0.97970346666666663</v>
      </c>
    </row>
    <row r="142" spans="1:20 16362:16362" ht="27.5" customHeight="1" x14ac:dyDescent="0.35">
      <c r="A142" s="65" t="s">
        <v>47</v>
      </c>
      <c r="B142" s="20"/>
      <c r="C142" s="17"/>
      <c r="D142" s="17"/>
      <c r="E142" s="17"/>
      <c r="F142" s="18">
        <f>F117+F118+F125+F132+F139+F140+F141</f>
        <v>494515000</v>
      </c>
      <c r="G142" s="18">
        <f>G117+G118+G125+G132+G139+G140+G141</f>
        <v>753883.25759157992</v>
      </c>
      <c r="H142" s="17"/>
      <c r="I142" s="17"/>
      <c r="J142" s="17"/>
      <c r="K142" s="18">
        <f t="shared" ref="K142:S142" si="153">K117+K118+K125+K132+K139+K140+K141</f>
        <v>165157500</v>
      </c>
      <c r="L142" s="18">
        <f t="shared" si="153"/>
        <v>251780.98564387608</v>
      </c>
      <c r="M142" s="18">
        <f t="shared" si="153"/>
        <v>0</v>
      </c>
      <c r="N142" s="18">
        <f t="shared" si="153"/>
        <v>122000000</v>
      </c>
      <c r="O142" s="18">
        <f t="shared" si="153"/>
        <v>43157500</v>
      </c>
      <c r="P142" s="18">
        <f t="shared" si="153"/>
        <v>148321913.43699998</v>
      </c>
      <c r="Q142" s="18">
        <f t="shared" si="153"/>
        <v>226115.29938242902</v>
      </c>
      <c r="R142" s="18">
        <f t="shared" si="153"/>
        <v>16835586.563000001</v>
      </c>
      <c r="S142" s="18">
        <f t="shared" si="153"/>
        <v>25665.686261447019</v>
      </c>
      <c r="T142" s="47">
        <f>+P142/K142</f>
        <v>0.89806344511753922</v>
      </c>
    </row>
    <row r="143" spans="1:20 16362:16362" s="87" customFormat="1" ht="27.5" customHeight="1" x14ac:dyDescent="0.35">
      <c r="A143" s="82"/>
      <c r="B143" s="83"/>
      <c r="C143" s="84"/>
      <c r="D143" s="84"/>
      <c r="E143" s="84"/>
      <c r="F143" s="85"/>
      <c r="G143" s="85"/>
      <c r="H143" s="84"/>
      <c r="I143" s="84"/>
      <c r="J143" s="84"/>
      <c r="K143" s="85"/>
      <c r="L143" s="85"/>
      <c r="M143" s="85"/>
      <c r="N143" s="85"/>
      <c r="O143" s="85"/>
      <c r="P143" s="85"/>
      <c r="Q143" s="84"/>
      <c r="R143" s="84"/>
      <c r="S143" s="84"/>
      <c r="T143" s="86"/>
    </row>
    <row r="144" spans="1:20 16362:16362" ht="27.5" customHeight="1" collapsed="1" x14ac:dyDescent="0.35">
      <c r="A144" s="94" t="s">
        <v>48</v>
      </c>
      <c r="B144" s="22"/>
      <c r="C144" s="23"/>
      <c r="D144" s="23"/>
      <c r="E144" s="23"/>
      <c r="F144" s="24">
        <f>F71+F95+F115+F142+F53</f>
        <v>1073140590</v>
      </c>
      <c r="G144" s="24">
        <f>G71+G95+G115+G142+G53</f>
        <v>1635992.2830307474</v>
      </c>
      <c r="H144" s="23"/>
      <c r="I144" s="23"/>
      <c r="J144" s="23"/>
      <c r="K144" s="24">
        <f>K71+K95+K115+K142</f>
        <v>430697500</v>
      </c>
      <c r="L144" s="24">
        <f>L71+L95+L115+L142</f>
        <v>656594.10601609561</v>
      </c>
      <c r="M144" s="24">
        <f t="shared" ref="M144:O144" si="154">M71+M95+M115+M142+M53</f>
        <v>4000000</v>
      </c>
      <c r="N144" s="24">
        <f t="shared" si="154"/>
        <v>373540000</v>
      </c>
      <c r="O144" s="24">
        <f t="shared" si="154"/>
        <v>55157500</v>
      </c>
      <c r="P144" s="24">
        <f>P71+P95+P115+P142</f>
        <v>381558383.57255995</v>
      </c>
      <c r="Q144" s="24">
        <f>Q71+Q95+Q115+Q142</f>
        <v>581682.00594331638</v>
      </c>
      <c r="R144" s="24">
        <f>R71+R95+R115+R142</f>
        <v>49139116.427440003</v>
      </c>
      <c r="S144" s="24">
        <f>S71+S95+S115+S142</f>
        <v>74912.100072779169</v>
      </c>
      <c r="T144" s="48">
        <f>+P144/K144</f>
        <v>0.8859080528040213</v>
      </c>
    </row>
    <row r="145" spans="1:20" s="28" customFormat="1" ht="28" customHeight="1" x14ac:dyDescent="0.35">
      <c r="A145" s="73" t="s">
        <v>49</v>
      </c>
      <c r="B145" s="26"/>
      <c r="C145" s="27"/>
      <c r="D145" s="27"/>
      <c r="E145" s="27"/>
      <c r="F145" s="30">
        <f>F54+F144</f>
        <v>1495324334.2620001</v>
      </c>
      <c r="G145" s="30">
        <f>G54+G144</f>
        <v>2279607.2520942683</v>
      </c>
      <c r="H145" s="27"/>
      <c r="I145" s="27"/>
      <c r="J145" s="27"/>
      <c r="K145" s="30">
        <f t="shared" ref="K145:S145" si="155">K54+K144</f>
        <v>513238395.38080001</v>
      </c>
      <c r="L145" s="30">
        <f t="shared" si="155"/>
        <v>782426.88984308427</v>
      </c>
      <c r="M145" s="30">
        <f t="shared" si="155"/>
        <v>10612048</v>
      </c>
      <c r="N145" s="30">
        <f t="shared" si="155"/>
        <v>422282801.49040002</v>
      </c>
      <c r="O145" s="30">
        <f t="shared" si="155"/>
        <v>82343545.890399992</v>
      </c>
      <c r="P145" s="30">
        <f t="shared" si="155"/>
        <v>467569904.07255995</v>
      </c>
      <c r="Q145" s="30">
        <f t="shared" si="155"/>
        <v>712805.72365652013</v>
      </c>
      <c r="R145" s="30">
        <f t="shared" si="155"/>
        <v>45668491.308240004</v>
      </c>
      <c r="S145" s="30">
        <f t="shared" si="155"/>
        <v>69621.166186564064</v>
      </c>
      <c r="T145" s="50">
        <f>+P145/K145</f>
        <v>0.91101895002544364</v>
      </c>
    </row>
    <row r="146" spans="1:20" ht="28" customHeight="1" x14ac:dyDescent="0.35">
      <c r="A146" s="64" t="s">
        <v>50</v>
      </c>
      <c r="B146" s="15"/>
      <c r="C146" s="91"/>
      <c r="D146" s="91"/>
      <c r="E146" s="91"/>
      <c r="F146" s="16">
        <v>0</v>
      </c>
      <c r="G146" s="16">
        <f>+F146*655.957</f>
        <v>0</v>
      </c>
      <c r="H146" s="91"/>
      <c r="I146" s="91"/>
      <c r="J146" s="91"/>
      <c r="K146" s="16">
        <v>0</v>
      </c>
      <c r="L146" s="16">
        <f>+K146*655.957</f>
        <v>0</v>
      </c>
      <c r="M146" s="16"/>
      <c r="N146" s="16"/>
      <c r="O146" s="16"/>
      <c r="P146" s="84"/>
      <c r="Q146" s="84"/>
      <c r="R146" s="84"/>
      <c r="S146" s="84"/>
      <c r="T146" s="88"/>
    </row>
    <row r="147" spans="1:20" s="28" customFormat="1" ht="28" customHeight="1" x14ac:dyDescent="0.35">
      <c r="A147" s="74" t="s">
        <v>51</v>
      </c>
      <c r="B147" s="22"/>
      <c r="C147" s="23"/>
      <c r="D147" s="23"/>
      <c r="E147" s="23"/>
      <c r="F147" s="24">
        <f>F145+F146</f>
        <v>1495324334.2620001</v>
      </c>
      <c r="G147" s="24">
        <f>G145+G146</f>
        <v>2279607.2520942683</v>
      </c>
      <c r="H147" s="23"/>
      <c r="I147" s="23"/>
      <c r="J147" s="23"/>
      <c r="K147" s="24">
        <f>K145+K146</f>
        <v>513238395.38080001</v>
      </c>
      <c r="L147" s="24">
        <f>L145+L146</f>
        <v>782426.88984308427</v>
      </c>
      <c r="M147" s="24">
        <f t="shared" ref="M147:Q147" si="156">M145+M146</f>
        <v>10612048</v>
      </c>
      <c r="N147" s="24">
        <f t="shared" si="156"/>
        <v>422282801.49040002</v>
      </c>
      <c r="O147" s="24">
        <f t="shared" si="156"/>
        <v>82343545.890399992</v>
      </c>
      <c r="P147" s="24">
        <f>P145+P146</f>
        <v>467569904.07255995</v>
      </c>
      <c r="Q147" s="24">
        <f t="shared" si="156"/>
        <v>712805.72365652013</v>
      </c>
      <c r="R147" s="24">
        <f>R145+R146</f>
        <v>45668491.308240004</v>
      </c>
      <c r="S147" s="24">
        <f t="shared" ref="S147" si="157">S145+S146</f>
        <v>69621.166186564064</v>
      </c>
      <c r="T147" s="48">
        <f>+P147/K147</f>
        <v>0.91101895002544364</v>
      </c>
    </row>
    <row r="148" spans="1:20" s="28" customFormat="1" ht="28" customHeight="1" x14ac:dyDescent="0.35">
      <c r="A148" s="75" t="s">
        <v>52</v>
      </c>
      <c r="B148" s="26"/>
      <c r="C148" s="27"/>
      <c r="D148" s="27"/>
      <c r="E148" s="27"/>
      <c r="F148" s="27">
        <f>+F147*7.00019808419029%</f>
        <v>104675665.39943974</v>
      </c>
      <c r="G148" s="27">
        <f>+G147*7%</f>
        <v>159572.50764659879</v>
      </c>
      <c r="H148" s="27"/>
      <c r="I148" s="27"/>
      <c r="J148" s="27"/>
      <c r="K148" s="27">
        <f>+K147*7%</f>
        <v>35926687.676656</v>
      </c>
      <c r="L148" s="27">
        <f>+L147*7%</f>
        <v>54769.882289015906</v>
      </c>
      <c r="M148" s="27">
        <f>+K148</f>
        <v>35926687.676656</v>
      </c>
      <c r="N148" s="27"/>
      <c r="O148" s="27"/>
      <c r="P148" s="27">
        <f>+P147*7%</f>
        <v>32729893.2850792</v>
      </c>
      <c r="Q148" s="16">
        <f>+P148/655.957</f>
        <v>49896.400655956415</v>
      </c>
      <c r="R148" s="16">
        <f>+K148-P148</f>
        <v>3196794.3915768005</v>
      </c>
      <c r="S148" s="16">
        <f t="shared" ref="S148" si="158">+R148/655.957</f>
        <v>4873.4816330594849</v>
      </c>
      <c r="T148" s="43"/>
    </row>
    <row r="149" spans="1:20" s="28" customFormat="1" ht="28" customHeight="1" x14ac:dyDescent="0.35">
      <c r="A149" s="74" t="s">
        <v>53</v>
      </c>
      <c r="B149" s="22"/>
      <c r="C149" s="23"/>
      <c r="D149" s="23"/>
      <c r="E149" s="23"/>
      <c r="F149" s="24">
        <f>F147+F148</f>
        <v>1599999999.6614399</v>
      </c>
      <c r="G149" s="24">
        <f>G147+G148</f>
        <v>2439179.7597408672</v>
      </c>
      <c r="H149" s="23"/>
      <c r="I149" s="23"/>
      <c r="J149" s="23"/>
      <c r="K149" s="24">
        <f t="shared" ref="K149:S149" si="159">K147+K148</f>
        <v>549165083.05745602</v>
      </c>
      <c r="L149" s="24">
        <f t="shared" si="159"/>
        <v>837196.77213210019</v>
      </c>
      <c r="M149" s="24">
        <f t="shared" si="159"/>
        <v>46538735.676656</v>
      </c>
      <c r="N149" s="24">
        <f t="shared" si="159"/>
        <v>422282801.49040002</v>
      </c>
      <c r="O149" s="24">
        <f t="shared" si="159"/>
        <v>82343545.890399992</v>
      </c>
      <c r="P149" s="24">
        <f>P147+P148</f>
        <v>500299797.35763913</v>
      </c>
      <c r="Q149" s="24">
        <f t="shared" si="159"/>
        <v>762702.12431247649</v>
      </c>
      <c r="R149" s="24">
        <f t="shared" si="159"/>
        <v>48865285.699816808</v>
      </c>
      <c r="S149" s="24">
        <f t="shared" si="159"/>
        <v>74494.647819623555</v>
      </c>
      <c r="T149" s="48">
        <f>+P149/K149</f>
        <v>0.91101895002544364</v>
      </c>
    </row>
    <row r="150" spans="1:20" ht="28" customHeight="1" x14ac:dyDescent="0.35">
      <c r="A150" s="64" t="s">
        <v>54</v>
      </c>
      <c r="B150" s="15"/>
      <c r="C150" s="91"/>
      <c r="D150" s="91"/>
      <c r="E150" s="91"/>
      <c r="F150" s="91"/>
      <c r="G150" s="91"/>
      <c r="H150" s="91"/>
      <c r="I150" s="91"/>
      <c r="J150" s="91"/>
      <c r="K150" s="91"/>
      <c r="L150" s="91"/>
      <c r="M150" s="91"/>
      <c r="N150" s="91"/>
      <c r="O150" s="91"/>
      <c r="P150" s="91"/>
      <c r="Q150" s="84"/>
      <c r="R150" s="84"/>
      <c r="S150" s="84"/>
      <c r="T150" s="49"/>
    </row>
    <row r="151" spans="1:20" ht="28" customHeight="1" x14ac:dyDescent="0.35">
      <c r="A151" s="64" t="s">
        <v>55</v>
      </c>
      <c r="B151" s="15"/>
      <c r="C151" s="91"/>
      <c r="D151" s="91"/>
      <c r="E151" s="91"/>
      <c r="F151" s="91"/>
      <c r="G151" s="91"/>
      <c r="H151" s="91"/>
      <c r="I151" s="91"/>
      <c r="J151" s="91"/>
      <c r="K151" s="91"/>
      <c r="L151" s="91"/>
      <c r="M151" s="91"/>
      <c r="N151" s="91"/>
      <c r="O151" s="91"/>
      <c r="P151" s="91"/>
      <c r="Q151" s="84"/>
      <c r="R151" s="84"/>
      <c r="S151" s="84"/>
      <c r="T151" s="49"/>
    </row>
    <row r="152" spans="1:20" ht="28" customHeight="1" x14ac:dyDescent="0.35">
      <c r="A152" s="76" t="s">
        <v>56</v>
      </c>
      <c r="B152" s="39"/>
      <c r="C152" s="40"/>
      <c r="D152" s="40"/>
      <c r="E152" s="40"/>
      <c r="F152" s="41">
        <f>F149</f>
        <v>1599999999.6614399</v>
      </c>
      <c r="G152" s="41">
        <f>G149</f>
        <v>2439179.7597408672</v>
      </c>
      <c r="H152" s="40"/>
      <c r="I152" s="40"/>
      <c r="J152" s="40"/>
      <c r="K152" s="41">
        <f>K149</f>
        <v>549165083.05745602</v>
      </c>
      <c r="L152" s="41">
        <f>L149</f>
        <v>837196.77213210019</v>
      </c>
      <c r="M152" s="41">
        <f t="shared" ref="M152:S152" si="160">M149</f>
        <v>46538735.676656</v>
      </c>
      <c r="N152" s="41">
        <f t="shared" si="160"/>
        <v>422282801.49040002</v>
      </c>
      <c r="O152" s="41">
        <f t="shared" si="160"/>
        <v>82343545.890399992</v>
      </c>
      <c r="P152" s="41">
        <f>P149</f>
        <v>500299797.35763913</v>
      </c>
      <c r="Q152" s="41">
        <f t="shared" si="160"/>
        <v>762702.12431247649</v>
      </c>
      <c r="R152" s="41">
        <f t="shared" si="160"/>
        <v>48865285.699816808</v>
      </c>
      <c r="S152" s="41">
        <f t="shared" si="160"/>
        <v>74494.647819623555</v>
      </c>
      <c r="T152" s="51">
        <f>+P152/K152</f>
        <v>0.91101895002544364</v>
      </c>
    </row>
  </sheetData>
  <mergeCells count="9">
    <mergeCell ref="M4:O4"/>
    <mergeCell ref="P4:Q4"/>
    <mergeCell ref="R4:S4"/>
    <mergeCell ref="T4:T5"/>
    <mergeCell ref="B3:G3"/>
    <mergeCell ref="H3:L3"/>
    <mergeCell ref="B4:G4"/>
    <mergeCell ref="H4:L4"/>
    <mergeCell ref="B115:D115"/>
  </mergeCells>
  <pageMargins left="0.51181102362204722" right="0.51181102362204722" top="0.55118110236220474" bottom="0.55118110236220474" header="0.31496062992125984" footer="0.31496062992125984"/>
  <pageSetup paperSize="9" scale="65" fitToHeight="0" orientation="landscape" r:id="rId1"/>
  <headerFooter>
    <oddFooter>&amp;L&amp;F</oddFooter>
  </headerFooter>
  <rowBreaks count="1" manualBreakCount="1">
    <brk id="120" max="3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387D5-B3C2-4AD4-B146-08ABD9F90D9D}">
  <sheetPr>
    <tabColor rgb="FFFFFF00"/>
    <pageSetUpPr fitToPage="1"/>
  </sheetPr>
  <dimension ref="A1:XEO156"/>
  <sheetViews>
    <sheetView view="pageBreakPreview" zoomScale="90" zoomScaleNormal="90" zoomScaleSheetLayoutView="90" workbookViewId="0">
      <pane xSplit="7" ySplit="6" topLeftCell="T149" activePane="bottomRight" state="frozen"/>
      <selection pane="topRight" activeCell="H1" sqref="H1"/>
      <selection pane="bottomLeft" activeCell="A7" sqref="A7"/>
      <selection pane="bottomRight" activeCell="S5" sqref="S5"/>
    </sheetView>
  </sheetViews>
  <sheetFormatPr baseColWidth="10" defaultColWidth="9.1796875" defaultRowHeight="13" outlineLevelRow="1" outlineLevelCol="1" x14ac:dyDescent="0.35"/>
  <cols>
    <col min="1" max="1" width="76.1796875" style="60" customWidth="1"/>
    <col min="2" max="2" width="12.54296875" style="6" hidden="1" customWidth="1" outlineLevel="1"/>
    <col min="3" max="3" width="10.54296875" style="1" hidden="1" customWidth="1" outlineLevel="1"/>
    <col min="4" max="4" width="13.54296875" style="1" hidden="1" customWidth="1" outlineLevel="1"/>
    <col min="5" max="5" width="14.54296875" style="1" hidden="1" customWidth="1" outlineLevel="1"/>
    <col min="6" max="6" width="16.54296875" style="1" hidden="1" customWidth="1" outlineLevel="1"/>
    <col min="7" max="7" width="11.1796875" style="1" hidden="1" customWidth="1" outlineLevel="1"/>
    <col min="8" max="8" width="13.453125" style="1" customWidth="1" collapsed="1"/>
    <col min="9" max="9" width="9.453125" style="1" customWidth="1"/>
    <col min="10" max="11" width="12.54296875" style="1" customWidth="1"/>
    <col min="12" max="12" width="14.90625" style="1" customWidth="1"/>
    <col min="13" max="13" width="12.453125" style="1" customWidth="1"/>
    <col min="14" max="17" width="17.1796875" style="1" hidden="1" customWidth="1" outlineLevel="1"/>
    <col min="18" max="19" width="13.90625" style="1" customWidth="1" collapsed="1"/>
    <col min="20" max="25" width="13.90625" style="1" customWidth="1"/>
    <col min="26" max="26" width="13.90625" style="45" customWidth="1"/>
    <col min="27" max="16368" width="9.1796875" style="1"/>
    <col min="16369" max="16369" width="11.6328125" style="1" bestFit="1" customWidth="1"/>
    <col min="16370" max="16384" width="11.6328125" style="1" customWidth="1"/>
  </cols>
  <sheetData>
    <row r="1" spans="1:26" s="4" customFormat="1" ht="21" customHeight="1" x14ac:dyDescent="0.35">
      <c r="A1" s="79" t="s">
        <v>186</v>
      </c>
      <c r="B1" s="78"/>
      <c r="C1" s="78"/>
      <c r="D1" s="78"/>
      <c r="E1" s="78"/>
      <c r="F1" s="78"/>
      <c r="G1" s="78"/>
      <c r="H1" s="78"/>
      <c r="I1" s="78"/>
      <c r="J1" s="78"/>
      <c r="K1" s="56"/>
      <c r="L1" s="7">
        <v>7.0001980841902904</v>
      </c>
      <c r="Z1" s="44"/>
    </row>
    <row r="2" spans="1:26" ht="21" customHeight="1" thickBot="1" x14ac:dyDescent="0.4">
      <c r="A2" s="79" t="s">
        <v>187</v>
      </c>
      <c r="B2" s="6">
        <v>655.95699999999999</v>
      </c>
      <c r="I2" s="1" t="s">
        <v>0</v>
      </c>
      <c r="L2" s="7"/>
      <c r="M2" s="7"/>
      <c r="N2" s="7"/>
      <c r="O2" s="7" t="s">
        <v>0</v>
      </c>
      <c r="P2" s="7"/>
      <c r="Q2" s="7"/>
      <c r="R2" s="7"/>
    </row>
    <row r="3" spans="1:26" ht="21" customHeight="1" x14ac:dyDescent="0.35">
      <c r="H3" s="155" t="s">
        <v>173</v>
      </c>
      <c r="I3" s="156"/>
      <c r="J3" s="156"/>
      <c r="K3" s="156"/>
      <c r="L3" s="156"/>
      <c r="M3" s="157"/>
    </row>
    <row r="4" spans="1:26" ht="38" customHeight="1" x14ac:dyDescent="0.35">
      <c r="A4" s="61" t="s">
        <v>1</v>
      </c>
      <c r="B4" s="159" t="s">
        <v>124</v>
      </c>
      <c r="C4" s="159"/>
      <c r="D4" s="159"/>
      <c r="E4" s="159"/>
      <c r="F4" s="159"/>
      <c r="G4" s="159"/>
      <c r="H4" s="150" t="s">
        <v>158</v>
      </c>
      <c r="I4" s="150"/>
      <c r="J4" s="150"/>
      <c r="K4" s="150"/>
      <c r="L4" s="150"/>
      <c r="M4" s="150"/>
      <c r="N4" s="153" t="s">
        <v>175</v>
      </c>
      <c r="O4" s="153"/>
      <c r="P4" s="153" t="s">
        <v>176</v>
      </c>
      <c r="Q4" s="153"/>
      <c r="R4" s="153" t="s">
        <v>188</v>
      </c>
      <c r="S4" s="153"/>
      <c r="T4" s="153" t="s">
        <v>178</v>
      </c>
      <c r="U4" s="153"/>
      <c r="V4" s="153" t="s">
        <v>179</v>
      </c>
      <c r="W4" s="153"/>
      <c r="X4" s="153" t="s">
        <v>181</v>
      </c>
      <c r="Y4" s="153"/>
      <c r="Z4" s="154" t="s">
        <v>183</v>
      </c>
    </row>
    <row r="5" spans="1:26" ht="39" x14ac:dyDescent="0.35">
      <c r="A5" s="62" t="s">
        <v>2</v>
      </c>
      <c r="B5" s="8" t="s">
        <v>3</v>
      </c>
      <c r="C5" s="9" t="s">
        <v>4</v>
      </c>
      <c r="D5" s="55" t="s">
        <v>5</v>
      </c>
      <c r="E5" s="55" t="s">
        <v>6</v>
      </c>
      <c r="F5" s="55" t="s">
        <v>7</v>
      </c>
      <c r="G5" s="55" t="s">
        <v>57</v>
      </c>
      <c r="H5" s="8" t="s">
        <v>3</v>
      </c>
      <c r="I5" s="9" t="s">
        <v>4</v>
      </c>
      <c r="J5" s="55" t="s">
        <v>79</v>
      </c>
      <c r="K5" s="55" t="s">
        <v>89</v>
      </c>
      <c r="L5" s="55" t="s">
        <v>185</v>
      </c>
      <c r="M5" s="55" t="s">
        <v>184</v>
      </c>
      <c r="N5" s="81" t="s">
        <v>177</v>
      </c>
      <c r="O5" s="81" t="s">
        <v>101</v>
      </c>
      <c r="P5" s="81" t="s">
        <v>177</v>
      </c>
      <c r="Q5" s="81" t="s">
        <v>101</v>
      </c>
      <c r="R5" s="81" t="s">
        <v>177</v>
      </c>
      <c r="S5" s="81" t="s">
        <v>101</v>
      </c>
      <c r="T5" s="81" t="s">
        <v>177</v>
      </c>
      <c r="U5" s="81" t="s">
        <v>101</v>
      </c>
      <c r="V5" s="81" t="s">
        <v>177</v>
      </c>
      <c r="W5" s="81" t="s">
        <v>101</v>
      </c>
      <c r="X5" s="81" t="s">
        <v>177</v>
      </c>
      <c r="Y5" s="81" t="s">
        <v>101</v>
      </c>
      <c r="Z5" s="154"/>
    </row>
    <row r="6" spans="1:26" ht="15" customHeight="1" x14ac:dyDescent="0.35">
      <c r="A6" s="63" t="s">
        <v>9</v>
      </c>
      <c r="B6" s="12"/>
      <c r="C6" s="3"/>
      <c r="D6" s="3"/>
      <c r="E6" s="13"/>
      <c r="F6" s="13"/>
      <c r="G6" s="13"/>
      <c r="H6" s="12"/>
      <c r="I6" s="3"/>
      <c r="J6" s="3"/>
      <c r="K6" s="3"/>
      <c r="L6" s="13"/>
      <c r="M6" s="13"/>
      <c r="N6" s="13"/>
      <c r="O6" s="13"/>
      <c r="P6" s="13"/>
      <c r="Q6" s="13"/>
      <c r="R6" s="13"/>
      <c r="S6" s="12"/>
      <c r="T6" s="13"/>
      <c r="U6" s="13"/>
      <c r="V6" s="13"/>
      <c r="W6" s="13"/>
      <c r="X6" s="13"/>
      <c r="Y6" s="13"/>
      <c r="Z6" s="46"/>
    </row>
    <row r="7" spans="1:26" ht="15" customHeight="1" x14ac:dyDescent="0.35">
      <c r="A7" s="61" t="s">
        <v>10</v>
      </c>
      <c r="B7" s="12"/>
      <c r="C7" s="3"/>
      <c r="D7" s="3"/>
      <c r="E7" s="13"/>
      <c r="F7" s="13"/>
      <c r="G7" s="13"/>
      <c r="H7" s="12"/>
      <c r="I7" s="3"/>
      <c r="J7" s="3"/>
      <c r="K7" s="3"/>
      <c r="L7" s="13"/>
      <c r="M7" s="13"/>
      <c r="N7" s="13"/>
      <c r="O7" s="13"/>
      <c r="P7" s="13"/>
      <c r="Q7" s="13"/>
      <c r="R7" s="13"/>
      <c r="S7" s="12"/>
      <c r="T7" s="13"/>
      <c r="U7" s="13"/>
      <c r="V7" s="13"/>
      <c r="W7" s="13"/>
      <c r="X7" s="13"/>
      <c r="Y7" s="13"/>
      <c r="Z7" s="46"/>
    </row>
    <row r="8" spans="1:26" ht="27.65" customHeight="1" x14ac:dyDescent="0.35">
      <c r="A8" s="64" t="s">
        <v>11</v>
      </c>
      <c r="B8" s="15"/>
      <c r="C8" s="54"/>
      <c r="D8" s="54"/>
      <c r="E8" s="16"/>
      <c r="F8" s="16"/>
      <c r="G8" s="16"/>
      <c r="H8" s="15"/>
      <c r="I8" s="54"/>
      <c r="J8" s="54"/>
      <c r="K8" s="54"/>
      <c r="L8" s="16" t="s">
        <v>0</v>
      </c>
      <c r="M8" s="16"/>
      <c r="N8" s="16"/>
      <c r="O8" s="16"/>
      <c r="P8" s="16"/>
      <c r="Q8" s="16"/>
      <c r="R8" s="16"/>
      <c r="S8" s="15"/>
      <c r="T8" s="16"/>
      <c r="U8" s="16"/>
      <c r="V8" s="16"/>
      <c r="W8" s="16"/>
      <c r="X8" s="16"/>
      <c r="Y8" s="16"/>
      <c r="Z8" s="43"/>
    </row>
    <row r="9" spans="1:26" ht="15" customHeight="1" x14ac:dyDescent="0.35">
      <c r="A9" s="64" t="s">
        <v>12</v>
      </c>
      <c r="B9" s="15" t="s">
        <v>13</v>
      </c>
      <c r="C9" s="54">
        <v>21</v>
      </c>
      <c r="D9" s="54">
        <v>2600</v>
      </c>
      <c r="E9" s="16">
        <f>C9*D9</f>
        <v>54600</v>
      </c>
      <c r="F9" s="16">
        <f>+E9*655.957</f>
        <v>35815252.200000003</v>
      </c>
      <c r="G9" s="16"/>
      <c r="H9" s="15" t="s">
        <v>13</v>
      </c>
      <c r="I9" s="54">
        <v>62</v>
      </c>
      <c r="J9" s="54">
        <f>1705548/2</f>
        <v>852774</v>
      </c>
      <c r="K9" s="54">
        <f>J9/$B$2</f>
        <v>1300.0455822561539</v>
      </c>
      <c r="L9" s="16">
        <f>+I9*J9</f>
        <v>52871988</v>
      </c>
      <c r="M9" s="16">
        <f>+L9/655.957</f>
        <v>80602.826099881553</v>
      </c>
      <c r="N9" s="16">
        <v>10085109</v>
      </c>
      <c r="O9" s="16">
        <f>+N9/655.957</f>
        <v>15374.649557821625</v>
      </c>
      <c r="P9" s="16">
        <v>10233198</v>
      </c>
      <c r="Q9" s="16">
        <f>+P9/655.957</f>
        <v>15600.409782958335</v>
      </c>
      <c r="R9" s="16">
        <f>N9+P9</f>
        <v>20318307</v>
      </c>
      <c r="S9" s="15">
        <f>+R9/655.957</f>
        <v>30975.059340779961</v>
      </c>
      <c r="T9" s="16">
        <v>10232928</v>
      </c>
      <c r="U9" s="16">
        <f>+T9/655.957</f>
        <v>15599.998170611794</v>
      </c>
      <c r="V9" s="16">
        <f>+R9+T9</f>
        <v>30551235</v>
      </c>
      <c r="W9" s="16">
        <f>+V9/655.957</f>
        <v>46575.057511391751</v>
      </c>
      <c r="X9" s="16">
        <f>+L9-V9</f>
        <v>22320753</v>
      </c>
      <c r="Y9" s="16">
        <f>+X9/655.957</f>
        <v>34027.768588489795</v>
      </c>
      <c r="Z9" s="43">
        <f>+V9/L9</f>
        <v>0.5778340508020996</v>
      </c>
    </row>
    <row r="10" spans="1:26" ht="15" customHeight="1" x14ac:dyDescent="0.35">
      <c r="A10" s="64" t="s">
        <v>14</v>
      </c>
      <c r="B10" s="15" t="s">
        <v>13</v>
      </c>
      <c r="C10" s="54">
        <v>42</v>
      </c>
      <c r="D10" s="54">
        <v>1750</v>
      </c>
      <c r="E10" s="16">
        <f>C10*D10</f>
        <v>73500</v>
      </c>
      <c r="F10" s="16">
        <f t="shared" ref="F10:F118" si="0">+E10*655.957</f>
        <v>48212839.5</v>
      </c>
      <c r="G10" s="16"/>
      <c r="H10" s="15" t="s">
        <v>13</v>
      </c>
      <c r="I10" s="54">
        <v>62</v>
      </c>
      <c r="J10" s="54">
        <v>1147925</v>
      </c>
      <c r="K10" s="54">
        <f>J10/$B$2</f>
        <v>1750.0003811225431</v>
      </c>
      <c r="L10" s="16">
        <f t="shared" ref="L10:L12" si="1">+I10*J10</f>
        <v>71171350</v>
      </c>
      <c r="M10" s="16">
        <f t="shared" ref="M10:M12" si="2">+L10/655.957</f>
        <v>108500.02362959768</v>
      </c>
      <c r="N10" s="16">
        <v>14801084</v>
      </c>
      <c r="O10" s="16">
        <f t="shared" ref="O10:O13" si="3">+N10/655.957</f>
        <v>22564.10709848359</v>
      </c>
      <c r="P10" s="16">
        <v>13637835</v>
      </c>
      <c r="Q10" s="16">
        <f t="shared" ref="Q10:Q13" si="4">+P10/655.957</f>
        <v>20790.745429959585</v>
      </c>
      <c r="R10" s="16">
        <f t="shared" ref="R10:R13" si="5">N10+P10</f>
        <v>28438919</v>
      </c>
      <c r="S10" s="15">
        <f t="shared" ref="S10:S13" si="6">+R10/655.957</f>
        <v>43354.852528443174</v>
      </c>
      <c r="T10" s="16">
        <v>13886564</v>
      </c>
      <c r="U10" s="16">
        <f t="shared" ref="U10:W13" si="7">+T10/655.957</f>
        <v>21169.930346044024</v>
      </c>
      <c r="V10" s="16">
        <f>+R10+T10</f>
        <v>42325483</v>
      </c>
      <c r="W10" s="16">
        <f t="shared" si="7"/>
        <v>64524.782874487202</v>
      </c>
      <c r="X10" s="16">
        <f>+L10-V10</f>
        <v>28845867</v>
      </c>
      <c r="Y10" s="16">
        <f t="shared" ref="Y10" si="8">+X10/655.957</f>
        <v>43975.24075511047</v>
      </c>
      <c r="Z10" s="43">
        <f>+V10/L10</f>
        <v>0.59469833015672735</v>
      </c>
    </row>
    <row r="11" spans="1:26" ht="15" customHeight="1" x14ac:dyDescent="0.35">
      <c r="A11" s="64" t="s">
        <v>15</v>
      </c>
      <c r="B11" s="15" t="s">
        <v>13</v>
      </c>
      <c r="C11" s="54">
        <v>21</v>
      </c>
      <c r="D11" s="54">
        <v>2050</v>
      </c>
      <c r="E11" s="16">
        <f>C11*D11</f>
        <v>43050</v>
      </c>
      <c r="F11" s="16">
        <f t="shared" si="0"/>
        <v>28238948.850000001</v>
      </c>
      <c r="G11" s="16"/>
      <c r="H11" s="15" t="s">
        <v>13</v>
      </c>
      <c r="I11" s="54">
        <v>62</v>
      </c>
      <c r="J11" s="54">
        <f>1344712/2</f>
        <v>672356</v>
      </c>
      <c r="K11" s="54">
        <f>J11/$B$2</f>
        <v>1025.0001143367629</v>
      </c>
      <c r="L11" s="16">
        <f t="shared" si="1"/>
        <v>41686072</v>
      </c>
      <c r="M11" s="16">
        <f>+L11/655.957</f>
        <v>63550.007088879305</v>
      </c>
      <c r="N11" s="16">
        <v>8068012</v>
      </c>
      <c r="O11" s="16">
        <f t="shared" si="3"/>
        <v>12299.605004596338</v>
      </c>
      <c r="P11" s="16">
        <v>8067996</v>
      </c>
      <c r="Q11" s="16">
        <f t="shared" si="4"/>
        <v>12299.58061275358</v>
      </c>
      <c r="R11" s="16">
        <f t="shared" si="5"/>
        <v>16136008</v>
      </c>
      <c r="S11" s="15">
        <f t="shared" si="6"/>
        <v>24599.185617349918</v>
      </c>
      <c r="T11" s="16">
        <v>8067996</v>
      </c>
      <c r="U11" s="16">
        <f t="shared" si="7"/>
        <v>12299.58061275358</v>
      </c>
      <c r="V11" s="16">
        <f>+R11+T11</f>
        <v>24204004</v>
      </c>
      <c r="W11" s="16">
        <f t="shared" si="7"/>
        <v>36898.766230103502</v>
      </c>
      <c r="X11" s="16">
        <f>+L11-V11</f>
        <v>17482068</v>
      </c>
      <c r="Y11" s="16">
        <f t="shared" ref="Y11" si="9">+X11/655.957</f>
        <v>26651.240858775804</v>
      </c>
      <c r="Z11" s="43">
        <f>+V11/L11</f>
        <v>0.5806256823622048</v>
      </c>
    </row>
    <row r="12" spans="1:26" ht="15" customHeight="1" x14ac:dyDescent="0.35">
      <c r="A12" s="64" t="s">
        <v>58</v>
      </c>
      <c r="B12" s="15" t="s">
        <v>13</v>
      </c>
      <c r="C12" s="54"/>
      <c r="D12" s="54"/>
      <c r="E12" s="16"/>
      <c r="F12" s="16"/>
      <c r="G12" s="16"/>
      <c r="H12" s="15" t="s">
        <v>13</v>
      </c>
      <c r="I12" s="54">
        <v>62</v>
      </c>
      <c r="J12" s="54">
        <v>229585</v>
      </c>
      <c r="K12" s="54">
        <f>J12/$B$2</f>
        <v>350.00007622450863</v>
      </c>
      <c r="L12" s="16">
        <f t="shared" si="1"/>
        <v>14234270</v>
      </c>
      <c r="M12" s="16">
        <f t="shared" si="2"/>
        <v>21700.004725919534</v>
      </c>
      <c r="N12" s="16">
        <v>1444771</v>
      </c>
      <c r="O12" s="16">
        <f t="shared" si="3"/>
        <v>2202.5391908311062</v>
      </c>
      <c r="P12" s="16">
        <v>1928520</v>
      </c>
      <c r="Q12" s="16">
        <f t="shared" si="4"/>
        <v>2940.0097872269066</v>
      </c>
      <c r="R12" s="16">
        <f t="shared" si="5"/>
        <v>3373291</v>
      </c>
      <c r="S12" s="15">
        <f t="shared" si="6"/>
        <v>5142.5489780580128</v>
      </c>
      <c r="T12" s="16">
        <v>2685680</v>
      </c>
      <c r="U12" s="16">
        <f t="shared" si="7"/>
        <v>4094.2927661416829</v>
      </c>
      <c r="V12" s="16">
        <f>+R12+T12</f>
        <v>6058971</v>
      </c>
      <c r="W12" s="16">
        <f t="shared" si="7"/>
        <v>9236.8417441996953</v>
      </c>
      <c r="X12" s="16">
        <f>+L12-V12</f>
        <v>8175299</v>
      </c>
      <c r="Y12" s="16">
        <f t="shared" ref="Y12" si="10">+X12/655.957</f>
        <v>12463.162981719839</v>
      </c>
      <c r="Z12" s="43">
        <f>+V12/L12</f>
        <v>0.42566081716870624</v>
      </c>
    </row>
    <row r="13" spans="1:26" ht="15" customHeight="1" x14ac:dyDescent="0.35">
      <c r="A13" s="64" t="s">
        <v>170</v>
      </c>
      <c r="B13" s="15" t="s">
        <v>13</v>
      </c>
      <c r="C13" s="54">
        <v>12</v>
      </c>
      <c r="D13" s="54">
        <v>840</v>
      </c>
      <c r="E13" s="16">
        <f>C13*D13</f>
        <v>10080</v>
      </c>
      <c r="F13" s="16">
        <f>+E13*655.957</f>
        <v>6612046.5599999996</v>
      </c>
      <c r="G13" s="16"/>
      <c r="H13" s="15" t="s">
        <v>16</v>
      </c>
      <c r="I13" s="54">
        <v>62</v>
      </c>
      <c r="J13" s="54">
        <v>551004</v>
      </c>
      <c r="K13" s="54">
        <f>60*8</f>
        <v>480</v>
      </c>
      <c r="L13" s="16">
        <f t="shared" ref="L13" si="11">+I13*J13</f>
        <v>34162248</v>
      </c>
      <c r="M13" s="16">
        <f>+L13/655.957</f>
        <v>52080.011342206883</v>
      </c>
      <c r="N13" s="16">
        <v>1574297</v>
      </c>
      <c r="O13" s="16">
        <f t="shared" si="3"/>
        <v>2400.0003048980343</v>
      </c>
      <c r="P13" s="16">
        <v>5368352</v>
      </c>
      <c r="Q13" s="16">
        <f t="shared" si="4"/>
        <v>8183.9998658448649</v>
      </c>
      <c r="R13" s="16">
        <f t="shared" si="5"/>
        <v>6942649</v>
      </c>
      <c r="S13" s="15">
        <f t="shared" si="6"/>
        <v>10584.0001707429</v>
      </c>
      <c r="T13" s="84">
        <f>141/8*J13</f>
        <v>9711445.5</v>
      </c>
      <c r="U13" s="16">
        <f t="shared" si="7"/>
        <v>14805.003224296715</v>
      </c>
      <c r="V13" s="16">
        <f>+R13+T13</f>
        <v>16654094.5</v>
      </c>
      <c r="W13" s="16">
        <f t="shared" si="7"/>
        <v>25389.003395039614</v>
      </c>
      <c r="X13" s="16">
        <f>+L13-V13</f>
        <v>17508153.5</v>
      </c>
      <c r="Y13" s="16">
        <f t="shared" ref="Y13" si="12">+X13/655.957</f>
        <v>26691.007947167269</v>
      </c>
      <c r="Z13" s="43">
        <f>+V13/L13</f>
        <v>0.48749995901909032</v>
      </c>
    </row>
    <row r="14" spans="1:26" ht="15" customHeight="1" x14ac:dyDescent="0.35">
      <c r="A14" s="65" t="s">
        <v>17</v>
      </c>
      <c r="B14" s="53"/>
      <c r="C14" s="17"/>
      <c r="D14" s="17"/>
      <c r="E14" s="18">
        <f>SUM(E9:E13)</f>
        <v>181230</v>
      </c>
      <c r="F14" s="18">
        <f>SUM(F9:F13)</f>
        <v>118879087.11000001</v>
      </c>
      <c r="G14" s="19">
        <f>F14/$F$152</f>
        <v>0.16609369131904037</v>
      </c>
      <c r="H14" s="53"/>
      <c r="I14" s="53"/>
      <c r="J14" s="53"/>
      <c r="K14" s="53"/>
      <c r="L14" s="18">
        <f t="shared" ref="L14" si="13">SUM(L9:L13)</f>
        <v>214125928</v>
      </c>
      <c r="M14" s="18">
        <f>SUM(M9:M13)</f>
        <v>326432.87288648495</v>
      </c>
      <c r="N14" s="18">
        <f>SUM(N9:N13)</f>
        <v>35973273</v>
      </c>
      <c r="O14" s="18">
        <f t="shared" ref="O14:Y14" si="14">SUM(O9:O13)</f>
        <v>54840.901156630702</v>
      </c>
      <c r="P14" s="18">
        <f t="shared" si="14"/>
        <v>39235901</v>
      </c>
      <c r="Q14" s="18">
        <f t="shared" si="14"/>
        <v>59814.745478743265</v>
      </c>
      <c r="R14" s="18">
        <f t="shared" si="14"/>
        <v>75209174</v>
      </c>
      <c r="S14" s="18">
        <f t="shared" si="14"/>
        <v>114655.64663537398</v>
      </c>
      <c r="T14" s="18">
        <f>SUM(T9:T13)</f>
        <v>44584613.5</v>
      </c>
      <c r="U14" s="18">
        <f t="shared" si="14"/>
        <v>67968.805119847806</v>
      </c>
      <c r="V14" s="18">
        <f>SUM(V9:V13)</f>
        <v>119793787.5</v>
      </c>
      <c r="W14" s="18">
        <f>SUM(W9:W13)</f>
        <v>182624.45175522176</v>
      </c>
      <c r="X14" s="18">
        <f>SUM(X9:X13)</f>
        <v>94332140.5</v>
      </c>
      <c r="Y14" s="18">
        <f t="shared" si="14"/>
        <v>143808.4211312632</v>
      </c>
      <c r="Z14" s="47"/>
    </row>
    <row r="15" spans="1:26" ht="15" customHeight="1" x14ac:dyDescent="0.35">
      <c r="A15" s="61" t="s">
        <v>8</v>
      </c>
      <c r="B15" s="15"/>
      <c r="C15" s="54"/>
      <c r="D15" s="54"/>
      <c r="E15" s="16"/>
      <c r="F15" s="16">
        <f t="shared" si="0"/>
        <v>0</v>
      </c>
      <c r="G15" s="16"/>
      <c r="H15" s="15"/>
      <c r="I15" s="54"/>
      <c r="J15" s="54"/>
      <c r="K15" s="54"/>
      <c r="L15" s="16"/>
      <c r="M15" s="16"/>
      <c r="N15" s="16"/>
      <c r="O15" s="16"/>
      <c r="P15" s="16"/>
      <c r="Q15" s="16"/>
      <c r="R15" s="16"/>
      <c r="S15" s="15"/>
      <c r="T15" s="16"/>
      <c r="U15" s="16"/>
      <c r="V15" s="16"/>
      <c r="W15" s="16"/>
      <c r="X15" s="16"/>
      <c r="Y15" s="16"/>
      <c r="Z15" s="43"/>
    </row>
    <row r="16" spans="1:26" ht="30" customHeight="1" x14ac:dyDescent="0.35">
      <c r="A16" s="64" t="s">
        <v>18</v>
      </c>
      <c r="B16" s="15"/>
      <c r="C16" s="54"/>
      <c r="D16" s="54"/>
      <c r="E16" s="16"/>
      <c r="F16" s="16">
        <f t="shared" si="0"/>
        <v>0</v>
      </c>
      <c r="G16" s="16"/>
      <c r="H16" s="15"/>
      <c r="I16" s="54"/>
      <c r="J16" s="54" t="s">
        <v>0</v>
      </c>
      <c r="K16" s="54"/>
      <c r="L16" s="16"/>
      <c r="M16" s="16"/>
      <c r="N16" s="16"/>
      <c r="O16" s="16"/>
      <c r="P16" s="16"/>
      <c r="Q16" s="16"/>
      <c r="R16" s="16"/>
      <c r="S16" s="15"/>
      <c r="T16" s="16"/>
      <c r="U16" s="16"/>
      <c r="V16" s="16"/>
      <c r="W16" s="16"/>
      <c r="X16" s="16"/>
      <c r="Y16" s="16"/>
      <c r="Z16" s="43"/>
    </row>
    <row r="17" spans="1:26" ht="15" customHeight="1" x14ac:dyDescent="0.35">
      <c r="A17" s="64" t="s">
        <v>84</v>
      </c>
      <c r="B17" s="15" t="s">
        <v>13</v>
      </c>
      <c r="C17" s="54">
        <f>42*0.15</f>
        <v>6.3</v>
      </c>
      <c r="D17" s="54">
        <v>2600</v>
      </c>
      <c r="E17" s="16">
        <f>C17*D17</f>
        <v>16380</v>
      </c>
      <c r="F17" s="16">
        <f t="shared" si="0"/>
        <v>10744575.66</v>
      </c>
      <c r="G17" s="16"/>
      <c r="H17" s="15" t="s">
        <v>13</v>
      </c>
      <c r="I17" s="54">
        <v>62</v>
      </c>
      <c r="J17" s="54">
        <f>1705548*15%</f>
        <v>255832.19999999998</v>
      </c>
      <c r="K17" s="54">
        <f>J17/$B$2</f>
        <v>390.01367467684616</v>
      </c>
      <c r="L17" s="16">
        <f t="shared" ref="L17:L20" si="15">+I17*J17</f>
        <v>15861596.399999999</v>
      </c>
      <c r="M17" s="16">
        <f>+L17/655.957</f>
        <v>24180.847829964463</v>
      </c>
      <c r="N17" s="16">
        <v>1691713</v>
      </c>
      <c r="O17" s="16">
        <f t="shared" ref="O17:O20" si="16">+N17/655.957</f>
        <v>2578.9998429775123</v>
      </c>
      <c r="P17" s="16">
        <v>31864</v>
      </c>
      <c r="Q17" s="16">
        <f t="shared" ref="Q17:Q20" si="17">+P17/655.957</f>
        <v>48.576354852528446</v>
      </c>
      <c r="R17" s="16">
        <f t="shared" ref="R17:R20" si="18">N17+P17</f>
        <v>1723577</v>
      </c>
      <c r="S17" s="15">
        <f t="shared" ref="S17:S20" si="19">+R17/655.957</f>
        <v>2627.5761978300407</v>
      </c>
      <c r="T17" s="27">
        <v>3069879</v>
      </c>
      <c r="U17" s="16">
        <f t="shared" ref="U17:U20" si="20">+T17/655.957</f>
        <v>4680.0003658776413</v>
      </c>
      <c r="V17" s="16">
        <f>+R17+T17</f>
        <v>4793456</v>
      </c>
      <c r="W17" s="16">
        <f t="shared" ref="W17:W20" si="21">+V17/655.957</f>
        <v>7307.576563707682</v>
      </c>
      <c r="X17" s="16">
        <f>+L17-V17</f>
        <v>11068140.399999999</v>
      </c>
      <c r="Y17" s="16">
        <f t="shared" ref="Y17" si="22">+X17/655.957</f>
        <v>16873.271266256779</v>
      </c>
      <c r="Z17" s="43">
        <f>+V17/L17</f>
        <v>0.30220514247859692</v>
      </c>
    </row>
    <row r="18" spans="1:26" ht="15" customHeight="1" x14ac:dyDescent="0.35">
      <c r="A18" s="64" t="s">
        <v>19</v>
      </c>
      <c r="B18" s="15" t="s">
        <v>13</v>
      </c>
      <c r="C18" s="54">
        <v>42</v>
      </c>
      <c r="D18" s="54">
        <v>1750</v>
      </c>
      <c r="E18" s="16">
        <f>C18*D18</f>
        <v>73500</v>
      </c>
      <c r="F18" s="16">
        <f t="shared" si="0"/>
        <v>48212839.5</v>
      </c>
      <c r="G18" s="16"/>
      <c r="H18" s="15" t="s">
        <v>13</v>
      </c>
      <c r="I18" s="54">
        <v>62</v>
      </c>
      <c r="J18" s="54">
        <v>1147925</v>
      </c>
      <c r="K18" s="54">
        <f>J18/$B$2</f>
        <v>1750.0003811225431</v>
      </c>
      <c r="L18" s="16">
        <f t="shared" si="15"/>
        <v>71171350</v>
      </c>
      <c r="M18" s="16">
        <f t="shared" ref="M18:M19" si="23">+L18/655.957</f>
        <v>108500.02362959768</v>
      </c>
      <c r="N18" s="16">
        <v>14839059.48</v>
      </c>
      <c r="O18" s="16">
        <f t="shared" si="16"/>
        <v>22622.000344534779</v>
      </c>
      <c r="P18" s="16">
        <v>13589925</v>
      </c>
      <c r="Q18" s="16">
        <f t="shared" si="17"/>
        <v>20717.707105801142</v>
      </c>
      <c r="R18" s="16">
        <f t="shared" si="18"/>
        <v>28428984.48</v>
      </c>
      <c r="S18" s="15">
        <f t="shared" si="19"/>
        <v>43339.707450335925</v>
      </c>
      <c r="T18" s="27">
        <v>13742299</v>
      </c>
      <c r="U18" s="16">
        <f t="shared" si="20"/>
        <v>20949.999771326475</v>
      </c>
      <c r="V18" s="16">
        <f>+R18+T18</f>
        <v>42171283.480000004</v>
      </c>
      <c r="W18" s="16">
        <f t="shared" si="21"/>
        <v>64289.7072216624</v>
      </c>
      <c r="X18" s="16">
        <f>+L18-V18</f>
        <v>29000066.519999996</v>
      </c>
      <c r="Y18" s="16">
        <f t="shared" ref="Y18" si="24">+X18/655.957</f>
        <v>44210.316407935272</v>
      </c>
      <c r="Z18" s="43">
        <f>+V18/L18</f>
        <v>0.59253173475000831</v>
      </c>
    </row>
    <row r="19" spans="1:26" ht="15" customHeight="1" x14ac:dyDescent="0.35">
      <c r="A19" s="64" t="s">
        <v>20</v>
      </c>
      <c r="B19" s="15" t="s">
        <v>13</v>
      </c>
      <c r="C19" s="54">
        <v>10.5</v>
      </c>
      <c r="D19" s="54">
        <v>2050</v>
      </c>
      <c r="E19" s="16">
        <f>C19*D19</f>
        <v>21525</v>
      </c>
      <c r="F19" s="16">
        <f t="shared" si="0"/>
        <v>14119474.425000001</v>
      </c>
      <c r="G19" s="16"/>
      <c r="H19" s="15" t="s">
        <v>13</v>
      </c>
      <c r="I19" s="54">
        <v>62</v>
      </c>
      <c r="J19" s="54">
        <f>1344712*25%</f>
        <v>336178</v>
      </c>
      <c r="K19" s="54">
        <f>J19/$B$2</f>
        <v>512.50005716838143</v>
      </c>
      <c r="L19" s="16">
        <f t="shared" si="15"/>
        <v>20843036</v>
      </c>
      <c r="M19" s="16">
        <f t="shared" si="23"/>
        <v>31775.003544439653</v>
      </c>
      <c r="N19" s="16">
        <v>2224350.48</v>
      </c>
      <c r="O19" s="16">
        <f t="shared" si="16"/>
        <v>3391.0004466756204</v>
      </c>
      <c r="P19" s="16">
        <v>262134</v>
      </c>
      <c r="Q19" s="16">
        <f t="shared" si="17"/>
        <v>399.62070684511332</v>
      </c>
      <c r="R19" s="16">
        <f t="shared" si="18"/>
        <v>2486484.48</v>
      </c>
      <c r="S19" s="15">
        <f t="shared" si="19"/>
        <v>3790.621153520734</v>
      </c>
      <c r="T19" s="27">
        <v>4034136</v>
      </c>
      <c r="U19" s="16">
        <f t="shared" si="20"/>
        <v>6150.0006860205776</v>
      </c>
      <c r="V19" s="16">
        <f>+R19+T19</f>
        <v>6520620.4800000004</v>
      </c>
      <c r="W19" s="16">
        <f t="shared" si="21"/>
        <v>9940.6218395413125</v>
      </c>
      <c r="X19" s="16">
        <f>+L19-V19</f>
        <v>14322415.52</v>
      </c>
      <c r="Y19" s="16">
        <f t="shared" ref="Y19" si="25">+X19/655.957</f>
        <v>21834.38170489834</v>
      </c>
      <c r="Z19" s="43">
        <f>+V19/L19</f>
        <v>0.31284408279100995</v>
      </c>
    </row>
    <row r="20" spans="1:26" ht="15" customHeight="1" x14ac:dyDescent="0.35">
      <c r="A20" s="64" t="s">
        <v>21</v>
      </c>
      <c r="B20" s="15" t="s">
        <v>13</v>
      </c>
      <c r="C20" s="54">
        <f>42*0.2</f>
        <v>8.4</v>
      </c>
      <c r="D20" s="54">
        <v>1750</v>
      </c>
      <c r="E20" s="16">
        <f>C20*D20</f>
        <v>14700</v>
      </c>
      <c r="F20" s="16">
        <f t="shared" si="0"/>
        <v>9642567.9000000004</v>
      </c>
      <c r="G20" s="16"/>
      <c r="H20" s="15" t="s">
        <v>13</v>
      </c>
      <c r="I20" s="54"/>
      <c r="J20" s="54">
        <v>0</v>
      </c>
      <c r="K20" s="54"/>
      <c r="L20" s="16">
        <f t="shared" si="15"/>
        <v>0</v>
      </c>
      <c r="M20" s="16">
        <f t="shared" ref="M20" si="26">+L20*655.957</f>
        <v>0</v>
      </c>
      <c r="N20" s="16"/>
      <c r="O20" s="16">
        <f t="shared" si="16"/>
        <v>0</v>
      </c>
      <c r="P20" s="16"/>
      <c r="Q20" s="16">
        <f t="shared" si="17"/>
        <v>0</v>
      </c>
      <c r="R20" s="16">
        <f t="shared" si="18"/>
        <v>0</v>
      </c>
      <c r="S20" s="15">
        <f t="shared" si="19"/>
        <v>0</v>
      </c>
      <c r="T20" s="27"/>
      <c r="U20" s="16">
        <f t="shared" si="20"/>
        <v>0</v>
      </c>
      <c r="V20" s="16">
        <f>+R20+T20</f>
        <v>0</v>
      </c>
      <c r="W20" s="16">
        <f t="shared" si="21"/>
        <v>0</v>
      </c>
      <c r="X20" s="16">
        <f>+L20-V20</f>
        <v>0</v>
      </c>
      <c r="Y20" s="16">
        <f t="shared" ref="Y20" si="27">+X20/655.957</f>
        <v>0</v>
      </c>
      <c r="Z20" s="43"/>
    </row>
    <row r="21" spans="1:26" ht="15" customHeight="1" x14ac:dyDescent="0.35">
      <c r="A21" s="65" t="s">
        <v>22</v>
      </c>
      <c r="B21" s="53"/>
      <c r="C21" s="17"/>
      <c r="D21" s="17"/>
      <c r="E21" s="18">
        <f>SUM(E17:E20)</f>
        <v>126105</v>
      </c>
      <c r="F21" s="18">
        <f>+E21*655.957</f>
        <v>82719457.484999999</v>
      </c>
      <c r="G21" s="19">
        <f>F21/$F$152</f>
        <v>0.11557272495606458</v>
      </c>
      <c r="H21" s="53"/>
      <c r="I21" s="17"/>
      <c r="J21" s="17"/>
      <c r="K21" s="17"/>
      <c r="L21" s="18">
        <f>SUM(L17:L20)</f>
        <v>107875982.40000001</v>
      </c>
      <c r="M21" s="18">
        <f>SUM(M17:M20)</f>
        <v>164455.87500400181</v>
      </c>
      <c r="N21" s="18">
        <f>SUM(N17:N20)</f>
        <v>18755122.960000001</v>
      </c>
      <c r="O21" s="18">
        <f t="shared" ref="O21:U21" si="28">SUM(O17:O20)</f>
        <v>28592.000634187913</v>
      </c>
      <c r="P21" s="18">
        <f t="shared" si="28"/>
        <v>13883923</v>
      </c>
      <c r="Q21" s="18">
        <f t="shared" si="28"/>
        <v>21165.904167498786</v>
      </c>
      <c r="R21" s="18">
        <f t="shared" si="28"/>
        <v>32639045.960000001</v>
      </c>
      <c r="S21" s="18">
        <f t="shared" si="28"/>
        <v>49757.904801686702</v>
      </c>
      <c r="T21" s="18">
        <f>SUM(T17:T20)</f>
        <v>20846314</v>
      </c>
      <c r="U21" s="18">
        <f t="shared" si="28"/>
        <v>31780.000823224691</v>
      </c>
      <c r="V21" s="18">
        <f t="shared" ref="V21:Y21" si="29">SUM(V17:V20)</f>
        <v>53485359.960000008</v>
      </c>
      <c r="W21" s="18">
        <f t="shared" si="29"/>
        <v>81537.905624911393</v>
      </c>
      <c r="X21" s="18">
        <f>SUM(X17:X20)</f>
        <v>54390622.439999998</v>
      </c>
      <c r="Y21" s="18">
        <f t="shared" si="29"/>
        <v>82917.969379090384</v>
      </c>
      <c r="Z21" s="47"/>
    </row>
    <row r="22" spans="1:26" ht="15" customHeight="1" collapsed="1" x14ac:dyDescent="0.35">
      <c r="A22" s="65" t="s">
        <v>23</v>
      </c>
      <c r="B22" s="53"/>
      <c r="C22" s="17"/>
      <c r="D22" s="17"/>
      <c r="E22" s="18">
        <f>E14+E21</f>
        <v>307335</v>
      </c>
      <c r="F22" s="18">
        <f t="shared" si="0"/>
        <v>201598544.595</v>
      </c>
      <c r="G22" s="19">
        <f>F22/$F$152</f>
        <v>0.28166641627510491</v>
      </c>
      <c r="H22" s="53"/>
      <c r="I22" s="17"/>
      <c r="J22" s="17"/>
      <c r="K22" s="17"/>
      <c r="L22" s="18">
        <f>L14+L21</f>
        <v>322001910.39999998</v>
      </c>
      <c r="M22" s="18">
        <f>M14+M21</f>
        <v>490888.74789048673</v>
      </c>
      <c r="N22" s="18">
        <f>N14+N21</f>
        <v>54728395.960000001</v>
      </c>
      <c r="O22" s="18">
        <f t="shared" ref="O22:U22" si="30">O14+O21</f>
        <v>83432.901790818607</v>
      </c>
      <c r="P22" s="18">
        <f t="shared" si="30"/>
        <v>53119824</v>
      </c>
      <c r="Q22" s="18">
        <f t="shared" si="30"/>
        <v>80980.649646242047</v>
      </c>
      <c r="R22" s="18">
        <f t="shared" si="30"/>
        <v>107848219.96000001</v>
      </c>
      <c r="S22" s="18">
        <f t="shared" si="30"/>
        <v>164413.5514370607</v>
      </c>
      <c r="T22" s="18">
        <f>T14+T21</f>
        <v>65430927.5</v>
      </c>
      <c r="U22" s="18">
        <f t="shared" si="30"/>
        <v>99748.805943072497</v>
      </c>
      <c r="V22" s="18">
        <f t="shared" ref="V22:Y22" si="31">V14+V21</f>
        <v>173279147.46000001</v>
      </c>
      <c r="W22" s="18">
        <f t="shared" si="31"/>
        <v>264162.35738013312</v>
      </c>
      <c r="X22" s="18">
        <f>X14+X21</f>
        <v>148722762.94</v>
      </c>
      <c r="Y22" s="18">
        <f t="shared" si="31"/>
        <v>226726.39051035358</v>
      </c>
      <c r="Z22" s="47"/>
    </row>
    <row r="23" spans="1:26" ht="15" customHeight="1" x14ac:dyDescent="0.35">
      <c r="A23" s="63" t="s">
        <v>24</v>
      </c>
      <c r="B23" s="12"/>
      <c r="C23" s="3"/>
      <c r="D23" s="3"/>
      <c r="E23" s="13"/>
      <c r="F23" s="16">
        <f t="shared" si="0"/>
        <v>0</v>
      </c>
      <c r="G23" s="16"/>
      <c r="H23" s="12"/>
      <c r="I23" s="3"/>
      <c r="J23" s="3"/>
      <c r="K23" s="3"/>
      <c r="L23" s="13"/>
      <c r="M23" s="13"/>
      <c r="N23" s="13"/>
      <c r="O23" s="13"/>
      <c r="P23" s="13"/>
      <c r="Q23" s="13"/>
      <c r="R23" s="13"/>
      <c r="S23" s="12"/>
      <c r="T23" s="13"/>
      <c r="U23" s="13"/>
      <c r="V23" s="13"/>
      <c r="W23" s="13"/>
      <c r="X23" s="13"/>
      <c r="Y23" s="13"/>
      <c r="Z23" s="46"/>
    </row>
    <row r="24" spans="1:26" ht="15" customHeight="1" x14ac:dyDescent="0.35">
      <c r="A24" s="64" t="s">
        <v>125</v>
      </c>
      <c r="B24" s="15" t="s">
        <v>13</v>
      </c>
      <c r="C24" s="54">
        <v>21</v>
      </c>
      <c r="D24" s="54">
        <v>250</v>
      </c>
      <c r="E24" s="16">
        <f>C24*D24</f>
        <v>5250</v>
      </c>
      <c r="F24" s="16">
        <f>+E24*655.957</f>
        <v>3443774.25</v>
      </c>
      <c r="G24" s="16"/>
      <c r="H24" s="15" t="s">
        <v>13</v>
      </c>
      <c r="I24" s="54">
        <v>62</v>
      </c>
      <c r="J24" s="54">
        <f>81994.5*2</f>
        <v>163989</v>
      </c>
      <c r="K24" s="54">
        <f>J24/$B$2</f>
        <v>249.9996188774569</v>
      </c>
      <c r="L24" s="16">
        <f>I24*J24</f>
        <v>10167318</v>
      </c>
      <c r="M24" s="16">
        <f>+L24/655.957</f>
        <v>15499.976370402328</v>
      </c>
      <c r="N24" s="16">
        <v>1186600</v>
      </c>
      <c r="O24" s="16">
        <f t="shared" ref="O24:O25" si="32">+N24/655.957</f>
        <v>1808.9600385391116</v>
      </c>
      <c r="P24" s="16">
        <v>1925000</v>
      </c>
      <c r="Q24" s="16">
        <f t="shared" ref="Q24:Q25" si="33">+P24/655.957</f>
        <v>2934.6435818201498</v>
      </c>
      <c r="R24" s="16">
        <f t="shared" ref="R24:R25" si="34">N24+P24</f>
        <v>3111600</v>
      </c>
      <c r="S24" s="15">
        <f t="shared" ref="S24:S25" si="35">+R24/655.957</f>
        <v>4743.6036203592612</v>
      </c>
      <c r="T24" s="16">
        <v>1840000</v>
      </c>
      <c r="U24" s="16">
        <f t="shared" ref="U24:U25" si="36">+T24/655.957</f>
        <v>2805.0619171683511</v>
      </c>
      <c r="V24" s="16">
        <f>+R24+T24</f>
        <v>4951600</v>
      </c>
      <c r="W24" s="16">
        <f t="shared" ref="W24:W25" si="37">+V24/655.957</f>
        <v>7548.6655375276123</v>
      </c>
      <c r="X24" s="16">
        <f>+L24-V24</f>
        <v>5215718</v>
      </c>
      <c r="Y24" s="16">
        <f t="shared" ref="Y24" si="38">+X24/655.957</f>
        <v>7951.3108328747157</v>
      </c>
      <c r="Z24" s="43">
        <f>+V24/L24</f>
        <v>0.48701142228461825</v>
      </c>
    </row>
    <row r="25" spans="1:26" ht="15" customHeight="1" x14ac:dyDescent="0.35">
      <c r="A25" s="64" t="s">
        <v>25</v>
      </c>
      <c r="B25" s="15" t="s">
        <v>13</v>
      </c>
      <c r="C25" s="54">
        <v>21</v>
      </c>
      <c r="D25" s="54">
        <v>250</v>
      </c>
      <c r="E25" s="16">
        <f>C25*D25</f>
        <v>5250</v>
      </c>
      <c r="F25" s="16">
        <f>+E25*655.957</f>
        <v>3443774.25</v>
      </c>
      <c r="G25" s="16"/>
      <c r="H25" s="15" t="s">
        <v>13</v>
      </c>
      <c r="I25" s="54">
        <v>62</v>
      </c>
      <c r="J25" s="54">
        <f>81994.5*2</f>
        <v>163989</v>
      </c>
      <c r="K25" s="54">
        <f>J25/$B$2</f>
        <v>249.9996188774569</v>
      </c>
      <c r="L25" s="16">
        <f>I25*J25</f>
        <v>10167318</v>
      </c>
      <c r="M25" s="16">
        <f>+L25/655.957</f>
        <v>15499.976370402328</v>
      </c>
      <c r="N25" s="16">
        <v>827162</v>
      </c>
      <c r="O25" s="16">
        <f t="shared" si="32"/>
        <v>1261.0003399613086</v>
      </c>
      <c r="P25" s="16">
        <v>1266791</v>
      </c>
      <c r="Q25" s="16">
        <f t="shared" si="33"/>
        <v>1931.2104299519633</v>
      </c>
      <c r="R25" s="16">
        <f t="shared" si="34"/>
        <v>2093953</v>
      </c>
      <c r="S25" s="15">
        <f t="shared" si="35"/>
        <v>3192.2107699132716</v>
      </c>
      <c r="T25" s="27">
        <v>2043306</v>
      </c>
      <c r="U25" s="16">
        <f t="shared" si="36"/>
        <v>3114.9999161530404</v>
      </c>
      <c r="V25" s="16">
        <f>+R25+T25</f>
        <v>4137259</v>
      </c>
      <c r="W25" s="16">
        <f t="shared" si="37"/>
        <v>6307.2106860663125</v>
      </c>
      <c r="X25" s="16">
        <f>+L25-V25</f>
        <v>6030059</v>
      </c>
      <c r="Y25" s="16">
        <f t="shared" ref="Y25" si="39">+X25/655.957</f>
        <v>9192.7656843360164</v>
      </c>
      <c r="Z25" s="43">
        <f>+V25/L25</f>
        <v>0.40691743879752751</v>
      </c>
    </row>
    <row r="26" spans="1:26" ht="15" customHeight="1" collapsed="1" x14ac:dyDescent="0.35">
      <c r="A26" s="65" t="s">
        <v>26</v>
      </c>
      <c r="B26" s="53"/>
      <c r="C26" s="53"/>
      <c r="D26" s="53"/>
      <c r="E26" s="18">
        <f>SUM(E24:E25)</f>
        <v>10500</v>
      </c>
      <c r="F26" s="18">
        <f>+E26*655.957</f>
        <v>6887548.5</v>
      </c>
      <c r="G26" s="19">
        <f>F26/$F$152</f>
        <v>9.6230412119953854E-3</v>
      </c>
      <c r="H26" s="53"/>
      <c r="I26" s="53"/>
      <c r="J26" s="53"/>
      <c r="K26" s="53"/>
      <c r="L26" s="18">
        <f>SUM(L24:L25)</f>
        <v>20334636</v>
      </c>
      <c r="M26" s="18">
        <f>SUM(M24:M25)</f>
        <v>30999.952740804656</v>
      </c>
      <c r="N26" s="18">
        <f>SUM(N24:N25)</f>
        <v>2013762</v>
      </c>
      <c r="O26" s="18">
        <f t="shared" ref="O26:Y26" si="40">SUM(O24:O25)</f>
        <v>3069.9603785004201</v>
      </c>
      <c r="P26" s="18">
        <f t="shared" si="40"/>
        <v>3191791</v>
      </c>
      <c r="Q26" s="18">
        <f t="shared" si="40"/>
        <v>4865.8540117721132</v>
      </c>
      <c r="R26" s="18">
        <f t="shared" si="40"/>
        <v>5205553</v>
      </c>
      <c r="S26" s="18">
        <f t="shared" si="40"/>
        <v>7935.8143902725333</v>
      </c>
      <c r="T26" s="18">
        <f>SUM(T24:T25)</f>
        <v>3883306</v>
      </c>
      <c r="U26" s="18">
        <f t="shared" si="40"/>
        <v>5920.0618333213915</v>
      </c>
      <c r="V26" s="18">
        <f>SUM(V24:V25)</f>
        <v>9088859</v>
      </c>
      <c r="W26" s="18">
        <f>SUM(W24:W25)</f>
        <v>13855.876223593925</v>
      </c>
      <c r="X26" s="18">
        <f>SUM(X24:X25)</f>
        <v>11245777</v>
      </c>
      <c r="Y26" s="18">
        <f t="shared" si="40"/>
        <v>17144.076517210731</v>
      </c>
      <c r="Z26" s="47"/>
    </row>
    <row r="27" spans="1:26" ht="15" customHeight="1" x14ac:dyDescent="0.35">
      <c r="A27" s="63" t="s">
        <v>59</v>
      </c>
      <c r="B27" s="12"/>
      <c r="C27" s="3"/>
      <c r="D27" s="3"/>
      <c r="E27" s="13"/>
      <c r="F27" s="16">
        <f t="shared" si="0"/>
        <v>0</v>
      </c>
      <c r="G27" s="16"/>
      <c r="H27" s="12"/>
      <c r="I27" s="3"/>
      <c r="J27" s="3"/>
      <c r="K27" s="3"/>
      <c r="L27" s="13"/>
      <c r="M27" s="13"/>
      <c r="N27" s="13"/>
      <c r="O27" s="13"/>
      <c r="P27" s="13"/>
      <c r="Q27" s="13"/>
      <c r="R27" s="13"/>
      <c r="S27" s="12"/>
      <c r="T27" s="13"/>
      <c r="U27" s="13"/>
      <c r="V27" s="13"/>
      <c r="W27" s="13"/>
      <c r="X27" s="13"/>
      <c r="Y27" s="13"/>
      <c r="Z27" s="46"/>
    </row>
    <row r="28" spans="1:26" ht="15" customHeight="1" x14ac:dyDescent="0.35">
      <c r="A28" s="63" t="s">
        <v>60</v>
      </c>
      <c r="B28" s="12"/>
      <c r="C28" s="3"/>
      <c r="D28" s="3"/>
      <c r="E28" s="13"/>
      <c r="F28" s="16"/>
      <c r="G28" s="16"/>
      <c r="H28" s="12"/>
      <c r="I28" s="3"/>
      <c r="J28" s="3"/>
      <c r="K28" s="3"/>
      <c r="L28" s="13"/>
      <c r="M28" s="13"/>
      <c r="N28" s="13"/>
      <c r="O28" s="13"/>
      <c r="P28" s="13"/>
      <c r="Q28" s="13"/>
      <c r="R28" s="13"/>
      <c r="S28" s="12"/>
      <c r="T28" s="13"/>
      <c r="U28" s="13"/>
      <c r="V28" s="13"/>
      <c r="W28" s="13"/>
      <c r="X28" s="13"/>
      <c r="Y28" s="13"/>
      <c r="Z28" s="46"/>
    </row>
    <row r="29" spans="1:26" ht="24" customHeight="1" x14ac:dyDescent="0.35">
      <c r="A29" s="64" t="s">
        <v>159</v>
      </c>
      <c r="B29" s="15" t="s">
        <v>27</v>
      </c>
      <c r="C29" s="54">
        <v>3</v>
      </c>
      <c r="D29" s="54">
        <v>1100</v>
      </c>
      <c r="E29" s="16">
        <f>C29*D29</f>
        <v>3300</v>
      </c>
      <c r="F29" s="16">
        <f t="shared" si="0"/>
        <v>2164658.1</v>
      </c>
      <c r="G29" s="16"/>
      <c r="H29" s="15" t="s">
        <v>27</v>
      </c>
      <c r="I29" s="54">
        <v>4</v>
      </c>
      <c r="J29" s="54">
        <v>721552.7</v>
      </c>
      <c r="K29" s="54">
        <f t="shared" ref="K29:K34" si="41">J29/$B$2</f>
        <v>1100</v>
      </c>
      <c r="L29" s="16">
        <f>I29*J29</f>
        <v>2886210.8</v>
      </c>
      <c r="M29" s="16">
        <f>+L29/655.957</f>
        <v>4400</v>
      </c>
      <c r="N29" s="16">
        <v>2886200</v>
      </c>
      <c r="O29" s="16">
        <f t="shared" ref="O29:O34" si="42">+N29/655.957</f>
        <v>4399.9835355061387</v>
      </c>
      <c r="P29" s="16"/>
      <c r="Q29" s="16">
        <f t="shared" ref="Q29:Q34" si="43">+P29/655.957</f>
        <v>0</v>
      </c>
      <c r="R29" s="16">
        <f t="shared" ref="R29:R34" si="44">N29+P29</f>
        <v>2886200</v>
      </c>
      <c r="S29" s="15">
        <f t="shared" ref="S29:S34" si="45">+R29/655.957</f>
        <v>4399.9835355061387</v>
      </c>
      <c r="T29" s="16"/>
      <c r="U29" s="16">
        <f t="shared" ref="U29:U34" si="46">+T29/655.957</f>
        <v>0</v>
      </c>
      <c r="V29" s="16">
        <f t="shared" ref="V29:V34" si="47">+R29+T29</f>
        <v>2886200</v>
      </c>
      <c r="W29" s="16">
        <f t="shared" ref="W29:W34" si="48">+V29/655.957</f>
        <v>4399.9835355061387</v>
      </c>
      <c r="X29" s="16">
        <f t="shared" ref="X29:X34" si="49">+L29-V29</f>
        <v>10.799999999813735</v>
      </c>
      <c r="Y29" s="16">
        <f t="shared" ref="Y29" si="50">+X29/655.957</f>
        <v>1.6464493861356361E-2</v>
      </c>
      <c r="Z29" s="43">
        <f t="shared" ref="Z29:Z34" si="51">+V29/L29</f>
        <v>0.99999625806957693</v>
      </c>
    </row>
    <row r="30" spans="1:26" ht="15" customHeight="1" x14ac:dyDescent="0.35">
      <c r="A30" s="64" t="s">
        <v>28</v>
      </c>
      <c r="B30" s="15" t="s">
        <v>29</v>
      </c>
      <c r="C30" s="54">
        <v>1</v>
      </c>
      <c r="D30" s="54">
        <v>500</v>
      </c>
      <c r="E30" s="16">
        <f>C30*D30</f>
        <v>500</v>
      </c>
      <c r="F30" s="16">
        <f t="shared" si="0"/>
        <v>327978.5</v>
      </c>
      <c r="G30" s="16"/>
      <c r="H30" s="15" t="s">
        <v>29</v>
      </c>
      <c r="I30" s="54">
        <v>1</v>
      </c>
      <c r="J30" s="54">
        <v>327978.5</v>
      </c>
      <c r="K30" s="54">
        <f t="shared" si="41"/>
        <v>500</v>
      </c>
      <c r="L30" s="16">
        <f>I30*J30</f>
        <v>327978.5</v>
      </c>
      <c r="M30" s="16">
        <f>+L30/655.957</f>
        <v>500</v>
      </c>
      <c r="N30" s="16">
        <v>379700</v>
      </c>
      <c r="O30" s="16">
        <f t="shared" si="42"/>
        <v>578.84891845044717</v>
      </c>
      <c r="P30" s="16"/>
      <c r="Q30" s="16">
        <f t="shared" si="43"/>
        <v>0</v>
      </c>
      <c r="R30" s="16">
        <f t="shared" si="44"/>
        <v>379700</v>
      </c>
      <c r="S30" s="15">
        <f t="shared" si="45"/>
        <v>578.84891845044717</v>
      </c>
      <c r="T30" s="16"/>
      <c r="U30" s="16">
        <f t="shared" si="46"/>
        <v>0</v>
      </c>
      <c r="V30" s="16">
        <f t="shared" si="47"/>
        <v>379700</v>
      </c>
      <c r="W30" s="16">
        <f t="shared" si="48"/>
        <v>578.84891845044717</v>
      </c>
      <c r="X30" s="16">
        <f t="shared" si="49"/>
        <v>-51721.5</v>
      </c>
      <c r="Y30" s="16">
        <f t="shared" ref="Y30" si="52">+X30/655.957</f>
        <v>-78.848918450447215</v>
      </c>
      <c r="Z30" s="43">
        <f t="shared" si="51"/>
        <v>1.1576978369008943</v>
      </c>
    </row>
    <row r="31" spans="1:26" ht="15" customHeight="1" x14ac:dyDescent="0.35">
      <c r="A31" s="64" t="s">
        <v>30</v>
      </c>
      <c r="B31" s="15" t="s">
        <v>13</v>
      </c>
      <c r="C31" s="54">
        <v>21</v>
      </c>
      <c r="D31" s="54">
        <v>200</v>
      </c>
      <c r="E31" s="16">
        <f>C31*D31</f>
        <v>4200</v>
      </c>
      <c r="F31" s="16">
        <f>+E31*655.957</f>
        <v>2755019.4</v>
      </c>
      <c r="G31" s="16"/>
      <c r="H31" s="15" t="s">
        <v>13</v>
      </c>
      <c r="I31" s="54">
        <v>62</v>
      </c>
      <c r="J31" s="54">
        <f>131191.482/2</f>
        <v>65595.740999999995</v>
      </c>
      <c r="K31" s="54">
        <f t="shared" si="41"/>
        <v>100.00006250409706</v>
      </c>
      <c r="L31" s="16">
        <f>+(65596*26)+(J31*48)</f>
        <v>4854091.568</v>
      </c>
      <c r="M31" s="16">
        <f t="shared" ref="M31:M33" si="53">+L31/655.957</f>
        <v>7400.0148912200038</v>
      </c>
      <c r="N31" s="16"/>
      <c r="O31" s="16">
        <f t="shared" si="42"/>
        <v>0</v>
      </c>
      <c r="P31" s="16">
        <v>787146</v>
      </c>
      <c r="Q31" s="16">
        <f t="shared" si="43"/>
        <v>1199.9963412235863</v>
      </c>
      <c r="R31" s="16">
        <f t="shared" si="44"/>
        <v>787146</v>
      </c>
      <c r="S31" s="15">
        <f t="shared" si="45"/>
        <v>1199.9963412235863</v>
      </c>
      <c r="T31" s="16">
        <v>787148</v>
      </c>
      <c r="U31" s="16">
        <f t="shared" si="46"/>
        <v>1199.9993902039312</v>
      </c>
      <c r="V31" s="16">
        <f t="shared" si="47"/>
        <v>1574294</v>
      </c>
      <c r="W31" s="16">
        <f t="shared" si="48"/>
        <v>2399.9957314275175</v>
      </c>
      <c r="X31" s="16">
        <f t="shared" si="49"/>
        <v>3279797.568</v>
      </c>
      <c r="Y31" s="16">
        <f t="shared" ref="Y31" si="54">+X31/655.957</f>
        <v>5000.0191597924868</v>
      </c>
      <c r="Z31" s="43">
        <f t="shared" si="51"/>
        <v>0.32432309484607563</v>
      </c>
    </row>
    <row r="32" spans="1:26" ht="15" customHeight="1" x14ac:dyDescent="0.35">
      <c r="A32" s="64" t="s">
        <v>31</v>
      </c>
      <c r="B32" s="15" t="s">
        <v>13</v>
      </c>
      <c r="C32" s="54">
        <v>21</v>
      </c>
      <c r="D32" s="54">
        <v>500</v>
      </c>
      <c r="E32" s="16">
        <f>C32*D32</f>
        <v>10500</v>
      </c>
      <c r="F32" s="16">
        <f>+E32*655.957</f>
        <v>6887548.5</v>
      </c>
      <c r="G32" s="16"/>
      <c r="H32" s="15" t="s">
        <v>13</v>
      </c>
      <c r="I32" s="54">
        <v>62</v>
      </c>
      <c r="J32" s="54">
        <f>327978.5164/2</f>
        <v>163989.25820000001</v>
      </c>
      <c r="K32" s="54">
        <f t="shared" si="41"/>
        <v>250.00001250081942</v>
      </c>
      <c r="L32" s="16">
        <f>+(163989*26)+(J32*48)</f>
        <v>12135198.3936</v>
      </c>
      <c r="M32" s="16">
        <f t="shared" si="53"/>
        <v>18499.99069085321</v>
      </c>
      <c r="N32" s="16">
        <v>2296000</v>
      </c>
      <c r="O32" s="16">
        <f t="shared" si="42"/>
        <v>3500.2294357709425</v>
      </c>
      <c r="P32" s="16">
        <v>1967874</v>
      </c>
      <c r="Q32" s="16">
        <f t="shared" si="43"/>
        <v>3000.0045734705172</v>
      </c>
      <c r="R32" s="16">
        <f t="shared" si="44"/>
        <v>4263874</v>
      </c>
      <c r="S32" s="15">
        <f t="shared" si="45"/>
        <v>6500.2340092414597</v>
      </c>
      <c r="T32" s="16">
        <v>1967872</v>
      </c>
      <c r="U32" s="16">
        <f t="shared" si="46"/>
        <v>3000.0015244901724</v>
      </c>
      <c r="V32" s="16">
        <f t="shared" si="47"/>
        <v>6231746</v>
      </c>
      <c r="W32" s="16">
        <f t="shared" si="48"/>
        <v>9500.2355337316312</v>
      </c>
      <c r="X32" s="16">
        <f t="shared" si="49"/>
        <v>5903452.3936000001</v>
      </c>
      <c r="Y32" s="16">
        <f t="shared" ref="Y32" si="55">+X32/655.957</f>
        <v>8999.755157121579</v>
      </c>
      <c r="Z32" s="43">
        <f t="shared" si="51"/>
        <v>0.5135265034716342</v>
      </c>
    </row>
    <row r="33" spans="1:26" ht="15" customHeight="1" x14ac:dyDescent="0.35">
      <c r="A33" s="64" t="s">
        <v>32</v>
      </c>
      <c r="B33" s="15" t="s">
        <v>13</v>
      </c>
      <c r="C33" s="54">
        <v>21</v>
      </c>
      <c r="D33" s="54">
        <v>250</v>
      </c>
      <c r="E33" s="16">
        <f>C33*D33</f>
        <v>5250</v>
      </c>
      <c r="F33" s="16">
        <f>+E33*655.957</f>
        <v>3443774.25</v>
      </c>
      <c r="G33" s="16"/>
      <c r="H33" s="15" t="s">
        <v>13</v>
      </c>
      <c r="I33" s="54">
        <v>62</v>
      </c>
      <c r="J33" s="54">
        <f>163989.25/2</f>
        <v>81994.625</v>
      </c>
      <c r="K33" s="54">
        <f t="shared" si="41"/>
        <v>125</v>
      </c>
      <c r="L33" s="16">
        <f>+(81995*26)+(J33*48)</f>
        <v>6067612</v>
      </c>
      <c r="M33" s="16">
        <f t="shared" si="53"/>
        <v>9250.0148637791808</v>
      </c>
      <c r="N33" s="16">
        <v>1148000</v>
      </c>
      <c r="O33" s="16">
        <f t="shared" si="42"/>
        <v>1750.1147178854712</v>
      </c>
      <c r="P33" s="16">
        <v>983934</v>
      </c>
      <c r="Q33" s="16">
        <f t="shared" si="43"/>
        <v>1499.9977132647414</v>
      </c>
      <c r="R33" s="16">
        <f t="shared" si="44"/>
        <v>2131934</v>
      </c>
      <c r="S33" s="15">
        <f t="shared" si="45"/>
        <v>3250.1124311502126</v>
      </c>
      <c r="T33" s="16">
        <v>983936</v>
      </c>
      <c r="U33" s="16">
        <f t="shared" si="46"/>
        <v>1500.0007622450862</v>
      </c>
      <c r="V33" s="16">
        <f t="shared" si="47"/>
        <v>3115870</v>
      </c>
      <c r="W33" s="16">
        <f t="shared" si="48"/>
        <v>4750.1131933952993</v>
      </c>
      <c r="X33" s="16">
        <f t="shared" si="49"/>
        <v>2951742</v>
      </c>
      <c r="Y33" s="16">
        <f t="shared" ref="Y33" si="56">+X33/655.957</f>
        <v>4499.9016703838815</v>
      </c>
      <c r="Z33" s="43">
        <f t="shared" si="51"/>
        <v>0.51352492545667061</v>
      </c>
    </row>
    <row r="34" spans="1:26" ht="15" customHeight="1" x14ac:dyDescent="0.35">
      <c r="A34" s="64" t="s">
        <v>64</v>
      </c>
      <c r="B34" s="15" t="s">
        <v>13</v>
      </c>
      <c r="C34" s="54"/>
      <c r="D34" s="54"/>
      <c r="E34" s="16"/>
      <c r="F34" s="16"/>
      <c r="G34" s="16"/>
      <c r="H34" s="15" t="s">
        <v>13</v>
      </c>
      <c r="I34" s="54">
        <v>36</v>
      </c>
      <c r="J34" s="54">
        <v>100000</v>
      </c>
      <c r="K34" s="54">
        <f t="shared" si="41"/>
        <v>152.44901723741037</v>
      </c>
      <c r="L34" s="16">
        <f>I34*J34</f>
        <v>3600000</v>
      </c>
      <c r="M34" s="16">
        <f t="shared" ref="M34" si="57">+L34/655.957</f>
        <v>5488.1646205467741</v>
      </c>
      <c r="N34" s="16"/>
      <c r="O34" s="16">
        <f t="shared" si="42"/>
        <v>0</v>
      </c>
      <c r="P34" s="16"/>
      <c r="Q34" s="16">
        <f t="shared" si="43"/>
        <v>0</v>
      </c>
      <c r="R34" s="16">
        <f t="shared" si="44"/>
        <v>0</v>
      </c>
      <c r="S34" s="15">
        <f t="shared" si="45"/>
        <v>0</v>
      </c>
      <c r="T34" s="16">
        <v>1200000</v>
      </c>
      <c r="U34" s="16">
        <f t="shared" si="46"/>
        <v>1829.3882068489245</v>
      </c>
      <c r="V34" s="16">
        <f t="shared" si="47"/>
        <v>1200000</v>
      </c>
      <c r="W34" s="16">
        <f t="shared" si="48"/>
        <v>1829.3882068489245</v>
      </c>
      <c r="X34" s="16">
        <f t="shared" si="49"/>
        <v>2400000</v>
      </c>
      <c r="Y34" s="16">
        <f t="shared" ref="Y34" si="58">+X34/655.957</f>
        <v>3658.776413697849</v>
      </c>
      <c r="Z34" s="43">
        <f t="shared" si="51"/>
        <v>0.33333333333333331</v>
      </c>
    </row>
    <row r="35" spans="1:26" ht="15" customHeight="1" x14ac:dyDescent="0.35">
      <c r="A35" s="65" t="s">
        <v>102</v>
      </c>
      <c r="B35" s="53"/>
      <c r="C35" s="53"/>
      <c r="D35" s="53"/>
      <c r="E35" s="18">
        <f>SUM(E29:E34)</f>
        <v>23750</v>
      </c>
      <c r="F35" s="18">
        <f>E35*655.957</f>
        <v>15578978.75</v>
      </c>
      <c r="G35" s="19">
        <f>F35/$F$152</f>
        <v>2.1766402741418132E-2</v>
      </c>
      <c r="H35" s="53"/>
      <c r="I35" s="53"/>
      <c r="J35" s="53"/>
      <c r="K35" s="17"/>
      <c r="L35" s="18">
        <f>SUM(L29:L34)</f>
        <v>29871091.261599999</v>
      </c>
      <c r="M35" s="18">
        <f>SUM(M29:M34)</f>
        <v>45538.185066399172</v>
      </c>
      <c r="N35" s="18">
        <f>SUM(N29:N34)</f>
        <v>6709900</v>
      </c>
      <c r="O35" s="18">
        <f t="shared" ref="O35:U35" si="59">SUM(O29:O34)</f>
        <v>10229.176607612999</v>
      </c>
      <c r="P35" s="18">
        <f t="shared" si="59"/>
        <v>3738954</v>
      </c>
      <c r="Q35" s="18">
        <f t="shared" si="59"/>
        <v>5699.9986279588447</v>
      </c>
      <c r="R35" s="18">
        <f t="shared" si="59"/>
        <v>10448854</v>
      </c>
      <c r="S35" s="18">
        <f t="shared" si="59"/>
        <v>15929.175235571845</v>
      </c>
      <c r="T35" s="18">
        <f>SUM(T29:T34)</f>
        <v>4938956</v>
      </c>
      <c r="U35" s="18">
        <f t="shared" si="59"/>
        <v>7529.3898837881143</v>
      </c>
      <c r="V35" s="18">
        <f>SUM(V29:V34)</f>
        <v>15387810</v>
      </c>
      <c r="W35" s="18">
        <f>SUM(W29:W34)</f>
        <v>23458.565119359962</v>
      </c>
      <c r="X35" s="18">
        <f>SUM(X29:X34)</f>
        <v>14483281.261599999</v>
      </c>
      <c r="Y35" s="18">
        <f>SUM(Y29:Y34)</f>
        <v>22079.619947039209</v>
      </c>
      <c r="Z35" s="47"/>
    </row>
    <row r="36" spans="1:26" ht="15" customHeight="1" x14ac:dyDescent="0.35">
      <c r="A36" s="63" t="s">
        <v>8</v>
      </c>
      <c r="B36" s="15"/>
      <c r="C36" s="54"/>
      <c r="D36" s="54"/>
      <c r="E36" s="16"/>
      <c r="F36" s="16"/>
      <c r="G36" s="16"/>
      <c r="H36" s="15"/>
      <c r="I36" s="54"/>
      <c r="J36" s="54"/>
      <c r="K36" s="54"/>
      <c r="L36" s="16"/>
      <c r="M36" s="16"/>
      <c r="N36" s="16"/>
      <c r="O36" s="16"/>
      <c r="P36" s="16"/>
      <c r="Q36" s="16"/>
      <c r="R36" s="16"/>
      <c r="S36" s="15"/>
      <c r="T36" s="16"/>
      <c r="U36" s="16"/>
      <c r="V36" s="16"/>
      <c r="W36" s="16"/>
      <c r="X36" s="16"/>
      <c r="Y36" s="16"/>
      <c r="Z36" s="43"/>
    </row>
    <row r="37" spans="1:26" ht="15" customHeight="1" x14ac:dyDescent="0.35">
      <c r="A37" s="64" t="s">
        <v>160</v>
      </c>
      <c r="B37" s="15" t="s">
        <v>27</v>
      </c>
      <c r="C37" s="54">
        <v>3</v>
      </c>
      <c r="D37" s="54">
        <v>1100</v>
      </c>
      <c r="E37" s="16">
        <f>C37*D37</f>
        <v>3300</v>
      </c>
      <c r="F37" s="16">
        <f t="shared" ref="F37:F38" si="60">+E37*655.957</f>
        <v>2164658.1</v>
      </c>
      <c r="G37" s="16"/>
      <c r="H37" s="15" t="s">
        <v>27</v>
      </c>
      <c r="I37" s="54">
        <v>2</v>
      </c>
      <c r="J37" s="54">
        <v>721552.7</v>
      </c>
      <c r="K37" s="54">
        <f t="shared" ref="K37:K42" si="61">J37/$B$2</f>
        <v>1100</v>
      </c>
      <c r="L37" s="16">
        <f t="shared" ref="L37:L41" si="62">I37*J37</f>
        <v>1443105.4</v>
      </c>
      <c r="M37" s="16">
        <f>+L37/655.957</f>
        <v>2200</v>
      </c>
      <c r="N37" s="16">
        <v>1439826</v>
      </c>
      <c r="O37" s="16">
        <f t="shared" ref="O37:O42" si="63">+N37/655.957</f>
        <v>2195.0005869287165</v>
      </c>
      <c r="P37" s="16"/>
      <c r="Q37" s="16">
        <f t="shared" ref="Q37:Q42" si="64">+P37/655.957</f>
        <v>0</v>
      </c>
      <c r="R37" s="16">
        <f t="shared" ref="R37:R42" si="65">N37+P37</f>
        <v>1439826</v>
      </c>
      <c r="S37" s="15">
        <f t="shared" ref="S37:S42" si="66">+R37/655.957</f>
        <v>2195.0005869287165</v>
      </c>
      <c r="T37" s="27"/>
      <c r="U37" s="16">
        <f t="shared" ref="U37:U42" si="67">+T37/655.957</f>
        <v>0</v>
      </c>
      <c r="V37" s="16">
        <f t="shared" ref="V37:V42" si="68">+R37+T37</f>
        <v>1439826</v>
      </c>
      <c r="W37" s="16">
        <f t="shared" ref="W37:W42" si="69">+V37/655.957</f>
        <v>2195.0005869287165</v>
      </c>
      <c r="X37" s="16">
        <f t="shared" ref="X37:X42" si="70">+L37-V37</f>
        <v>3279.3999999999069</v>
      </c>
      <c r="Y37" s="16">
        <f t="shared" ref="Y37" si="71">+X37/655.957</f>
        <v>4.9994130712834943</v>
      </c>
      <c r="Z37" s="43">
        <f t="shared" ref="Z37:Z42" si="72">+V37/L37</f>
        <v>0.99772753951305293</v>
      </c>
    </row>
    <row r="38" spans="1:26" ht="15" customHeight="1" x14ac:dyDescent="0.35">
      <c r="A38" s="64" t="s">
        <v>65</v>
      </c>
      <c r="B38" s="15" t="s">
        <v>29</v>
      </c>
      <c r="C38" s="54">
        <v>1</v>
      </c>
      <c r="D38" s="54">
        <v>500</v>
      </c>
      <c r="E38" s="16">
        <f>C38*D38</f>
        <v>500</v>
      </c>
      <c r="F38" s="16">
        <f t="shared" si="60"/>
        <v>327978.5</v>
      </c>
      <c r="G38" s="16"/>
      <c r="H38" s="15" t="s">
        <v>29</v>
      </c>
      <c r="I38" s="54">
        <v>1</v>
      </c>
      <c r="J38" s="54">
        <v>327978.5</v>
      </c>
      <c r="K38" s="54">
        <f t="shared" si="61"/>
        <v>500</v>
      </c>
      <c r="L38" s="16">
        <f t="shared" si="62"/>
        <v>327978.5</v>
      </c>
      <c r="M38" s="16">
        <f>+L38/655.957</f>
        <v>500</v>
      </c>
      <c r="N38" s="16">
        <v>360120</v>
      </c>
      <c r="O38" s="16">
        <f t="shared" si="63"/>
        <v>548.99940087536231</v>
      </c>
      <c r="P38" s="16"/>
      <c r="Q38" s="16">
        <f t="shared" si="64"/>
        <v>0</v>
      </c>
      <c r="R38" s="16">
        <f t="shared" si="65"/>
        <v>360120</v>
      </c>
      <c r="S38" s="15">
        <f t="shared" si="66"/>
        <v>548.99940087536231</v>
      </c>
      <c r="T38" s="27"/>
      <c r="U38" s="16">
        <f t="shared" si="67"/>
        <v>0</v>
      </c>
      <c r="V38" s="16">
        <f t="shared" si="68"/>
        <v>360120</v>
      </c>
      <c r="W38" s="16">
        <f t="shared" si="69"/>
        <v>548.99940087536231</v>
      </c>
      <c r="X38" s="16">
        <f t="shared" si="70"/>
        <v>-32141.5</v>
      </c>
      <c r="Y38" s="16">
        <f t="shared" ref="Y38" si="73">+X38/655.957</f>
        <v>-48.999400875362255</v>
      </c>
      <c r="Z38" s="43">
        <f t="shared" si="72"/>
        <v>1.0979988017507245</v>
      </c>
    </row>
    <row r="39" spans="1:26" ht="15" customHeight="1" x14ac:dyDescent="0.35">
      <c r="A39" s="64" t="s">
        <v>66</v>
      </c>
      <c r="B39" s="15" t="s">
        <v>13</v>
      </c>
      <c r="C39" s="54">
        <v>21</v>
      </c>
      <c r="D39" s="54">
        <v>200</v>
      </c>
      <c r="E39" s="16">
        <f>C39*D39</f>
        <v>4200</v>
      </c>
      <c r="F39" s="16">
        <f>+E39*655.957</f>
        <v>2755019.4</v>
      </c>
      <c r="G39" s="16"/>
      <c r="H39" s="15" t="s">
        <v>13</v>
      </c>
      <c r="I39" s="54">
        <v>62</v>
      </c>
      <c r="J39" s="54">
        <f>131191.482/2</f>
        <v>65595.740999999995</v>
      </c>
      <c r="K39" s="54">
        <f t="shared" si="61"/>
        <v>100.00006250409706</v>
      </c>
      <c r="L39" s="16">
        <f t="shared" si="62"/>
        <v>4066935.9419999998</v>
      </c>
      <c r="M39" s="16">
        <f t="shared" ref="M39:M42" si="74">+L39/655.957</f>
        <v>6200.0038752540177</v>
      </c>
      <c r="N39" s="16">
        <v>311580</v>
      </c>
      <c r="O39" s="16">
        <f t="shared" si="63"/>
        <v>475.00064790832329</v>
      </c>
      <c r="P39" s="16">
        <v>600268</v>
      </c>
      <c r="Q39" s="16">
        <f t="shared" si="64"/>
        <v>915.10266679065853</v>
      </c>
      <c r="R39" s="16">
        <f t="shared" si="65"/>
        <v>911848</v>
      </c>
      <c r="S39" s="15">
        <f t="shared" si="66"/>
        <v>1390.1033146989819</v>
      </c>
      <c r="T39" s="57"/>
      <c r="U39" s="16">
        <f t="shared" si="67"/>
        <v>0</v>
      </c>
      <c r="V39" s="16">
        <f t="shared" si="68"/>
        <v>911848</v>
      </c>
      <c r="W39" s="16">
        <f t="shared" si="69"/>
        <v>1390.1033146989819</v>
      </c>
      <c r="X39" s="16">
        <f t="shared" si="70"/>
        <v>3155087.9419999998</v>
      </c>
      <c r="Y39" s="16">
        <f t="shared" ref="Y39" si="75">+X39/655.957</f>
        <v>4809.9005605550365</v>
      </c>
      <c r="Z39" s="43">
        <f t="shared" si="72"/>
        <v>0.22421007190774189</v>
      </c>
    </row>
    <row r="40" spans="1:26" ht="15" customHeight="1" x14ac:dyDescent="0.35">
      <c r="A40" s="64" t="s">
        <v>67</v>
      </c>
      <c r="B40" s="15" t="s">
        <v>13</v>
      </c>
      <c r="C40" s="54">
        <v>21</v>
      </c>
      <c r="D40" s="54">
        <v>500</v>
      </c>
      <c r="E40" s="16">
        <f>C40*D40</f>
        <v>10500</v>
      </c>
      <c r="F40" s="16">
        <f>+E40*655.957</f>
        <v>6887548.5</v>
      </c>
      <c r="G40" s="16"/>
      <c r="H40" s="15" t="s">
        <v>13</v>
      </c>
      <c r="I40" s="54">
        <v>62</v>
      </c>
      <c r="J40" s="54">
        <f>327978.5164/2</f>
        <v>163989.25820000001</v>
      </c>
      <c r="K40" s="54">
        <f t="shared" si="61"/>
        <v>250.00001250081942</v>
      </c>
      <c r="L40" s="16">
        <f t="shared" si="62"/>
        <v>10167334.008400001</v>
      </c>
      <c r="M40" s="16">
        <f t="shared" si="74"/>
        <v>15500.000775050805</v>
      </c>
      <c r="N40" s="16">
        <v>1829464</v>
      </c>
      <c r="O40" s="16">
        <f t="shared" si="63"/>
        <v>2788.9998887122174</v>
      </c>
      <c r="P40" s="16">
        <v>1647569</v>
      </c>
      <c r="Q40" s="16">
        <f t="shared" si="64"/>
        <v>2511.7027488082299</v>
      </c>
      <c r="R40" s="16">
        <f t="shared" si="65"/>
        <v>3477033</v>
      </c>
      <c r="S40" s="15">
        <f t="shared" si="66"/>
        <v>5300.7026375204468</v>
      </c>
      <c r="T40" s="57">
        <v>4338500</v>
      </c>
      <c r="U40" s="16">
        <f t="shared" si="67"/>
        <v>6614.0006128450495</v>
      </c>
      <c r="V40" s="16">
        <f t="shared" si="68"/>
        <v>7815533</v>
      </c>
      <c r="W40" s="16">
        <f t="shared" si="69"/>
        <v>11914.703250365497</v>
      </c>
      <c r="X40" s="16">
        <f t="shared" si="70"/>
        <v>2351801.0084000006</v>
      </c>
      <c r="Y40" s="16">
        <f t="shared" ref="Y40" si="76">+X40/655.957</f>
        <v>3585.297524685308</v>
      </c>
      <c r="Z40" s="43">
        <f t="shared" si="72"/>
        <v>0.76869049384460064</v>
      </c>
    </row>
    <row r="41" spans="1:26" ht="15" customHeight="1" x14ac:dyDescent="0.35">
      <c r="A41" s="64" t="s">
        <v>68</v>
      </c>
      <c r="B41" s="15" t="s">
        <v>13</v>
      </c>
      <c r="C41" s="54">
        <v>21</v>
      </c>
      <c r="D41" s="54">
        <v>250</v>
      </c>
      <c r="E41" s="16">
        <f>C41*D41</f>
        <v>5250</v>
      </c>
      <c r="F41" s="16">
        <f>+E41*655.957</f>
        <v>3443774.25</v>
      </c>
      <c r="G41" s="16"/>
      <c r="H41" s="15" t="s">
        <v>13</v>
      </c>
      <c r="I41" s="54">
        <v>62</v>
      </c>
      <c r="J41" s="54">
        <f>163989.25/2</f>
        <v>81994.625</v>
      </c>
      <c r="K41" s="54">
        <f t="shared" si="61"/>
        <v>125</v>
      </c>
      <c r="L41" s="16">
        <f t="shared" si="62"/>
        <v>5083666.75</v>
      </c>
      <c r="M41" s="16">
        <f t="shared" si="74"/>
        <v>7750</v>
      </c>
      <c r="N41" s="16">
        <v>849464</v>
      </c>
      <c r="O41" s="16">
        <f t="shared" si="63"/>
        <v>1294.9995197855958</v>
      </c>
      <c r="P41" s="16">
        <v>968524</v>
      </c>
      <c r="Q41" s="16">
        <f t="shared" si="64"/>
        <v>1476.5053197084565</v>
      </c>
      <c r="R41" s="16">
        <f t="shared" si="65"/>
        <v>1817988</v>
      </c>
      <c r="S41" s="15">
        <f t="shared" si="66"/>
        <v>2771.5048394940522</v>
      </c>
      <c r="T41" s="57"/>
      <c r="U41" s="16">
        <f t="shared" si="67"/>
        <v>0</v>
      </c>
      <c r="V41" s="16">
        <f t="shared" si="68"/>
        <v>1817988</v>
      </c>
      <c r="W41" s="16">
        <f t="shared" si="69"/>
        <v>2771.5048394940522</v>
      </c>
      <c r="X41" s="16">
        <f t="shared" si="70"/>
        <v>3265678.75</v>
      </c>
      <c r="Y41" s="16">
        <f t="shared" ref="Y41" si="77">+X41/655.957</f>
        <v>4978.4951605059478</v>
      </c>
      <c r="Z41" s="43">
        <f t="shared" si="72"/>
        <v>0.35761352767665189</v>
      </c>
    </row>
    <row r="42" spans="1:26" ht="15" customHeight="1" x14ac:dyDescent="0.35">
      <c r="A42" s="64" t="s">
        <v>69</v>
      </c>
      <c r="B42" s="15" t="s">
        <v>13</v>
      </c>
      <c r="C42" s="54"/>
      <c r="D42" s="54"/>
      <c r="E42" s="16"/>
      <c r="F42" s="16"/>
      <c r="G42" s="16"/>
      <c r="H42" s="15" t="s">
        <v>13</v>
      </c>
      <c r="I42" s="54">
        <v>36</v>
      </c>
      <c r="J42" s="54">
        <v>50000</v>
      </c>
      <c r="K42" s="54">
        <f t="shared" si="61"/>
        <v>76.224508618705187</v>
      </c>
      <c r="L42" s="16">
        <f>I42*J42</f>
        <v>1800000</v>
      </c>
      <c r="M42" s="16">
        <f t="shared" si="74"/>
        <v>2744.0823102733871</v>
      </c>
      <c r="N42" s="16"/>
      <c r="O42" s="16">
        <f t="shared" si="63"/>
        <v>0</v>
      </c>
      <c r="P42" s="16"/>
      <c r="Q42" s="16">
        <f t="shared" si="64"/>
        <v>0</v>
      </c>
      <c r="R42" s="16">
        <f t="shared" si="65"/>
        <v>0</v>
      </c>
      <c r="S42" s="15">
        <f t="shared" si="66"/>
        <v>0</v>
      </c>
      <c r="T42" s="57"/>
      <c r="U42" s="16">
        <f t="shared" si="67"/>
        <v>0</v>
      </c>
      <c r="V42" s="16">
        <f t="shared" si="68"/>
        <v>0</v>
      </c>
      <c r="W42" s="16">
        <f t="shared" si="69"/>
        <v>0</v>
      </c>
      <c r="X42" s="16">
        <f t="shared" si="70"/>
        <v>1800000</v>
      </c>
      <c r="Y42" s="16">
        <f t="shared" ref="Y42" si="78">+X42/655.957</f>
        <v>2744.0823102733871</v>
      </c>
      <c r="Z42" s="43">
        <f t="shared" si="72"/>
        <v>0</v>
      </c>
    </row>
    <row r="43" spans="1:26" ht="15" customHeight="1" x14ac:dyDescent="0.35">
      <c r="A43" s="65" t="s">
        <v>22</v>
      </c>
      <c r="B43" s="20"/>
      <c r="C43" s="17"/>
      <c r="D43" s="17"/>
      <c r="E43" s="18">
        <f>SUM(E37:E42)</f>
        <v>23750</v>
      </c>
      <c r="F43" s="18">
        <f>E43*655.957</f>
        <v>15578978.75</v>
      </c>
      <c r="G43" s="19">
        <f>F43/$F$152</f>
        <v>2.1766402741418132E-2</v>
      </c>
      <c r="H43" s="20"/>
      <c r="I43" s="17"/>
      <c r="J43" s="17"/>
      <c r="K43" s="17"/>
      <c r="L43" s="18">
        <f>SUM(L37:L42)</f>
        <v>22889020.600400001</v>
      </c>
      <c r="M43" s="18">
        <f>SUM(M37:M42)</f>
        <v>34894.086960578206</v>
      </c>
      <c r="N43" s="18">
        <f>SUM(N37:N42)</f>
        <v>4790454</v>
      </c>
      <c r="O43" s="18">
        <f t="shared" ref="O43:U43" si="79">SUM(O37:O42)</f>
        <v>7303.0000442102155</v>
      </c>
      <c r="P43" s="18">
        <f t="shared" si="79"/>
        <v>3216361</v>
      </c>
      <c r="Q43" s="18">
        <f t="shared" si="79"/>
        <v>4903.3107353073447</v>
      </c>
      <c r="R43" s="18">
        <f t="shared" si="79"/>
        <v>8006815</v>
      </c>
      <c r="S43" s="18">
        <f t="shared" si="79"/>
        <v>12206.31077951756</v>
      </c>
      <c r="T43" s="18">
        <f t="shared" si="79"/>
        <v>4338500</v>
      </c>
      <c r="U43" s="18">
        <f t="shared" si="79"/>
        <v>6614.0006128450495</v>
      </c>
      <c r="V43" s="18">
        <f t="shared" ref="V43:Y43" si="80">SUM(V37:V42)</f>
        <v>12345315</v>
      </c>
      <c r="W43" s="18">
        <f t="shared" si="80"/>
        <v>18820.311392362612</v>
      </c>
      <c r="X43" s="18">
        <f>SUM(X37:X42)</f>
        <v>10543705.600400001</v>
      </c>
      <c r="Y43" s="18">
        <f t="shared" si="80"/>
        <v>16073.7755682156</v>
      </c>
      <c r="Z43" s="47"/>
    </row>
    <row r="44" spans="1:26" ht="15" customHeight="1" collapsed="1" x14ac:dyDescent="0.35">
      <c r="A44" s="65" t="s">
        <v>61</v>
      </c>
      <c r="B44" s="20"/>
      <c r="C44" s="17"/>
      <c r="D44" s="17"/>
      <c r="E44" s="18">
        <f>E35+E43</f>
        <v>47500</v>
      </c>
      <c r="F44" s="18">
        <f>+E44*655.957</f>
        <v>31157957.5</v>
      </c>
      <c r="G44" s="19">
        <f>F44/$F$152</f>
        <v>4.3532805482836265E-2</v>
      </c>
      <c r="H44" s="53"/>
      <c r="I44" s="17"/>
      <c r="J44" s="17"/>
      <c r="K44" s="17"/>
      <c r="L44" s="18">
        <f>L35+L43</f>
        <v>52760111.862000003</v>
      </c>
      <c r="M44" s="18">
        <f>M35+M43</f>
        <v>80432.272026977385</v>
      </c>
      <c r="N44" s="18">
        <f>N35+N43</f>
        <v>11500354</v>
      </c>
      <c r="O44" s="18">
        <f t="shared" ref="O44:U44" si="81">O35+O43</f>
        <v>17532.176651823214</v>
      </c>
      <c r="P44" s="18">
        <f t="shared" si="81"/>
        <v>6955315</v>
      </c>
      <c r="Q44" s="18">
        <f t="shared" si="81"/>
        <v>10603.309363266189</v>
      </c>
      <c r="R44" s="18">
        <f t="shared" si="81"/>
        <v>18455669</v>
      </c>
      <c r="S44" s="18">
        <f t="shared" si="81"/>
        <v>28135.486015089406</v>
      </c>
      <c r="T44" s="18">
        <f t="shared" si="81"/>
        <v>9277456</v>
      </c>
      <c r="U44" s="18">
        <f t="shared" si="81"/>
        <v>14143.390496633165</v>
      </c>
      <c r="V44" s="18">
        <f t="shared" ref="V44:Y44" si="82">V35+V43</f>
        <v>27733125</v>
      </c>
      <c r="W44" s="18">
        <f t="shared" si="82"/>
        <v>42278.87651172257</v>
      </c>
      <c r="X44" s="18">
        <f>X35+X43</f>
        <v>25026986.862</v>
      </c>
      <c r="Y44" s="18">
        <f t="shared" si="82"/>
        <v>38153.395515254808</v>
      </c>
      <c r="Z44" s="47"/>
    </row>
    <row r="45" spans="1:26" ht="15" customHeight="1" x14ac:dyDescent="0.35">
      <c r="A45" s="63" t="s">
        <v>91</v>
      </c>
      <c r="B45" s="12" t="s">
        <v>33</v>
      </c>
      <c r="C45" s="3"/>
      <c r="D45" s="3"/>
      <c r="E45" s="13"/>
      <c r="F45" s="16">
        <f t="shared" si="0"/>
        <v>0</v>
      </c>
      <c r="G45" s="16"/>
      <c r="H45" s="12" t="s">
        <v>33</v>
      </c>
      <c r="I45" s="3"/>
      <c r="J45" s="3"/>
      <c r="K45" s="3"/>
      <c r="L45" s="13"/>
      <c r="M45" s="13"/>
      <c r="N45" s="13"/>
      <c r="O45" s="13"/>
      <c r="P45" s="13"/>
      <c r="Q45" s="13"/>
      <c r="R45" s="13"/>
      <c r="S45" s="12" t="s">
        <v>33</v>
      </c>
      <c r="T45" s="13"/>
      <c r="U45" s="13"/>
      <c r="V45" s="13"/>
      <c r="W45" s="13"/>
      <c r="X45" s="13"/>
      <c r="Y45" s="13"/>
      <c r="Z45" s="46"/>
    </row>
    <row r="46" spans="1:26" ht="15" customHeight="1" x14ac:dyDescent="0.35">
      <c r="A46" s="64" t="s">
        <v>92</v>
      </c>
      <c r="B46" s="15" t="s">
        <v>34</v>
      </c>
      <c r="C46" s="54">
        <v>4</v>
      </c>
      <c r="D46" s="54">
        <v>5000</v>
      </c>
      <c r="E46" s="16">
        <f>C46*D46</f>
        <v>20000</v>
      </c>
      <c r="F46" s="16">
        <f t="shared" si="0"/>
        <v>13119140</v>
      </c>
      <c r="G46" s="16"/>
      <c r="H46" s="15" t="s">
        <v>34</v>
      </c>
      <c r="I46" s="54">
        <v>5</v>
      </c>
      <c r="J46" s="54">
        <v>3279785</v>
      </c>
      <c r="K46" s="54">
        <f>J46/$B$2</f>
        <v>5000</v>
      </c>
      <c r="L46" s="16">
        <f t="shared" ref="L46:L47" si="83">I46*J46</f>
        <v>16398925</v>
      </c>
      <c r="M46" s="16">
        <f>+L46/655.957</f>
        <v>25000</v>
      </c>
      <c r="N46" s="16"/>
      <c r="O46" s="16">
        <f t="shared" ref="O46:O49" si="84">+N46/655.957</f>
        <v>0</v>
      </c>
      <c r="P46" s="16">
        <v>3250000</v>
      </c>
      <c r="Q46" s="16">
        <f t="shared" ref="Q46:Q49" si="85">+P46/655.957</f>
        <v>4954.5930602158378</v>
      </c>
      <c r="R46" s="16">
        <f t="shared" ref="R46:R49" si="86">N46+P46</f>
        <v>3250000</v>
      </c>
      <c r="S46" s="15">
        <f t="shared" ref="S46:S49" si="87">+R46/655.957</f>
        <v>4954.5930602158378</v>
      </c>
      <c r="T46" s="16">
        <v>3835000</v>
      </c>
      <c r="U46" s="16">
        <f t="shared" ref="U46:U49" si="88">+T46/655.957</f>
        <v>5846.4198110546877</v>
      </c>
      <c r="V46" s="16">
        <f>+R46+T46</f>
        <v>7085000</v>
      </c>
      <c r="W46" s="16">
        <f t="shared" ref="W46:W49" si="89">+V46/655.957</f>
        <v>10801.012871270525</v>
      </c>
      <c r="X46" s="16">
        <f>+L46-V46</f>
        <v>9313925</v>
      </c>
      <c r="Y46" s="16">
        <f t="shared" ref="Y46" si="90">+X46/655.957</f>
        <v>14198.987128729475</v>
      </c>
      <c r="Z46" s="43">
        <f>+V46/L46</f>
        <v>0.43204051485082101</v>
      </c>
    </row>
    <row r="47" spans="1:26" ht="15" customHeight="1" x14ac:dyDescent="0.35">
      <c r="A47" s="66" t="s">
        <v>93</v>
      </c>
      <c r="B47" s="15" t="s">
        <v>35</v>
      </c>
      <c r="C47" s="54">
        <v>4</v>
      </c>
      <c r="D47" s="54">
        <v>2029</v>
      </c>
      <c r="E47" s="16">
        <f>C47*D47</f>
        <v>8116</v>
      </c>
      <c r="F47" s="16">
        <f t="shared" si="0"/>
        <v>5323747.0120000001</v>
      </c>
      <c r="G47" s="16"/>
      <c r="H47" s="15" t="s">
        <v>35</v>
      </c>
      <c r="I47" s="54">
        <v>5</v>
      </c>
      <c r="J47" s="54">
        <v>1330937</v>
      </c>
      <c r="K47" s="54">
        <f>J47/$B$2</f>
        <v>2029.0003765490726</v>
      </c>
      <c r="L47" s="16">
        <f t="shared" si="83"/>
        <v>6654685</v>
      </c>
      <c r="M47" s="16">
        <f>+L47/655.957</f>
        <v>10145.001882745362</v>
      </c>
      <c r="N47" s="16">
        <v>790628</v>
      </c>
      <c r="O47" s="16">
        <f t="shared" si="84"/>
        <v>1205.3046160037929</v>
      </c>
      <c r="P47" s="16">
        <v>669361</v>
      </c>
      <c r="Q47" s="16">
        <f t="shared" si="85"/>
        <v>1020.4342662705025</v>
      </c>
      <c r="R47" s="16">
        <f t="shared" si="86"/>
        <v>1459989</v>
      </c>
      <c r="S47" s="15">
        <f t="shared" si="87"/>
        <v>2225.7388822742955</v>
      </c>
      <c r="T47" s="16">
        <v>1281031</v>
      </c>
      <c r="U47" s="16">
        <f t="shared" si="88"/>
        <v>1952.9191700065705</v>
      </c>
      <c r="V47" s="16">
        <f>+R47+T47</f>
        <v>2741020</v>
      </c>
      <c r="W47" s="16">
        <f t="shared" si="89"/>
        <v>4178.6580522808663</v>
      </c>
      <c r="X47" s="16">
        <f>+L47-V47</f>
        <v>3913665</v>
      </c>
      <c r="Y47" s="16">
        <f t="shared" ref="Y47" si="91">+X47/655.957</f>
        <v>5966.3438304644969</v>
      </c>
      <c r="Z47" s="43">
        <f>+V47/L47</f>
        <v>0.41189327518883312</v>
      </c>
    </row>
    <row r="48" spans="1:26" ht="15" customHeight="1" x14ac:dyDescent="0.35">
      <c r="A48" s="64" t="s">
        <v>94</v>
      </c>
      <c r="B48" s="15" t="s">
        <v>13</v>
      </c>
      <c r="C48" s="54">
        <v>42</v>
      </c>
      <c r="D48" s="54">
        <v>50</v>
      </c>
      <c r="E48" s="16">
        <f>C48*D48</f>
        <v>2100</v>
      </c>
      <c r="F48" s="16">
        <f t="shared" si="0"/>
        <v>1377509.7</v>
      </c>
      <c r="G48" s="16"/>
      <c r="H48" s="15" t="s">
        <v>13</v>
      </c>
      <c r="I48" s="54">
        <v>62</v>
      </c>
      <c r="J48" s="54">
        <v>32798</v>
      </c>
      <c r="K48" s="54">
        <f>J48/$B$2</f>
        <v>50.000228673525854</v>
      </c>
      <c r="L48" s="16">
        <f>I48*J48</f>
        <v>2033476</v>
      </c>
      <c r="M48" s="16">
        <f t="shared" ref="M48" si="92">+L48/655.957</f>
        <v>3100.0141777586032</v>
      </c>
      <c r="N48" s="16">
        <v>47700</v>
      </c>
      <c r="O48" s="16">
        <f t="shared" si="84"/>
        <v>72.718181222244752</v>
      </c>
      <c r="P48" s="16">
        <v>222900</v>
      </c>
      <c r="Q48" s="16">
        <f t="shared" si="85"/>
        <v>339.80885942218777</v>
      </c>
      <c r="R48" s="16">
        <f t="shared" si="86"/>
        <v>270600</v>
      </c>
      <c r="S48" s="15">
        <f t="shared" si="87"/>
        <v>412.52704064443247</v>
      </c>
      <c r="T48" s="16">
        <v>421800</v>
      </c>
      <c r="U48" s="16">
        <f t="shared" si="88"/>
        <v>643.029954707397</v>
      </c>
      <c r="V48" s="16">
        <f>+R48+T48</f>
        <v>692400</v>
      </c>
      <c r="W48" s="16">
        <f t="shared" si="89"/>
        <v>1055.5569953518295</v>
      </c>
      <c r="X48" s="16">
        <f>+L48-V48</f>
        <v>1341076</v>
      </c>
      <c r="Y48" s="16">
        <f t="shared" ref="Y48" si="93">+X48/655.957</f>
        <v>2044.4571824067737</v>
      </c>
      <c r="Z48" s="43">
        <f>+V48/L48</f>
        <v>0.340500699295197</v>
      </c>
    </row>
    <row r="49" spans="1:26" ht="15" customHeight="1" x14ac:dyDescent="0.35">
      <c r="A49" s="64" t="s">
        <v>95</v>
      </c>
      <c r="B49" s="15" t="s">
        <v>35</v>
      </c>
      <c r="C49" s="54">
        <v>4</v>
      </c>
      <c r="D49" s="54">
        <v>2000</v>
      </c>
      <c r="E49" s="16">
        <f>C49*D49</f>
        <v>8000</v>
      </c>
      <c r="F49" s="16">
        <f t="shared" si="0"/>
        <v>5247656</v>
      </c>
      <c r="G49" s="16"/>
      <c r="H49" s="15" t="s">
        <v>62</v>
      </c>
      <c r="I49" s="54">
        <v>0</v>
      </c>
      <c r="J49" s="54">
        <f>2000*B2</f>
        <v>1311914</v>
      </c>
      <c r="K49" s="54">
        <f>J49/$B$2</f>
        <v>2000</v>
      </c>
      <c r="L49" s="16">
        <f t="shared" ref="L49" si="94">I49*J49</f>
        <v>0</v>
      </c>
      <c r="M49" s="16">
        <f>+L49/655.957</f>
        <v>0</v>
      </c>
      <c r="N49" s="16"/>
      <c r="O49" s="16">
        <f t="shared" si="84"/>
        <v>0</v>
      </c>
      <c r="P49" s="16"/>
      <c r="Q49" s="16">
        <f t="shared" si="85"/>
        <v>0</v>
      </c>
      <c r="R49" s="16">
        <f t="shared" si="86"/>
        <v>0</v>
      </c>
      <c r="S49" s="15">
        <f t="shared" si="87"/>
        <v>0</v>
      </c>
      <c r="T49" s="16"/>
      <c r="U49" s="16">
        <f t="shared" si="88"/>
        <v>0</v>
      </c>
      <c r="V49" s="16">
        <f>+R49+T49</f>
        <v>0</v>
      </c>
      <c r="W49" s="16">
        <f t="shared" si="89"/>
        <v>0</v>
      </c>
      <c r="X49" s="16">
        <f>+L49-V49</f>
        <v>0</v>
      </c>
      <c r="Y49" s="16">
        <f t="shared" ref="Y49" si="95">+X49/655.957</f>
        <v>0</v>
      </c>
      <c r="Z49" s="43"/>
    </row>
    <row r="50" spans="1:26" ht="15" customHeight="1" collapsed="1" x14ac:dyDescent="0.35">
      <c r="A50" s="65" t="s">
        <v>36</v>
      </c>
      <c r="B50" s="53"/>
      <c r="C50" s="17"/>
      <c r="D50" s="17"/>
      <c r="E50" s="18">
        <f>SUM(E46:E49)</f>
        <v>38216</v>
      </c>
      <c r="F50" s="18">
        <f>+E50*655.957</f>
        <v>25068052.712000001</v>
      </c>
      <c r="G50" s="19">
        <f>F50/$F$152</f>
        <v>3.5024204091201494E-2</v>
      </c>
      <c r="H50" s="53"/>
      <c r="I50" s="17"/>
      <c r="J50" s="17"/>
      <c r="K50" s="17"/>
      <c r="L50" s="18">
        <f>SUM(L46:L49)</f>
        <v>25087086</v>
      </c>
      <c r="M50" s="18">
        <f>SUM(M46:M49)</f>
        <v>38245.016060503964</v>
      </c>
      <c r="N50" s="18">
        <f>SUM(N46:N49)</f>
        <v>838328</v>
      </c>
      <c r="O50" s="18">
        <f t="shared" ref="O50:U50" si="96">SUM(O46:O49)</f>
        <v>1278.0227972260377</v>
      </c>
      <c r="P50" s="18">
        <f t="shared" si="96"/>
        <v>4142261</v>
      </c>
      <c r="Q50" s="18">
        <f t="shared" si="96"/>
        <v>6314.836185908528</v>
      </c>
      <c r="R50" s="18">
        <f t="shared" si="96"/>
        <v>4980589</v>
      </c>
      <c r="S50" s="18">
        <f t="shared" si="96"/>
        <v>7592.8589831345653</v>
      </c>
      <c r="T50" s="18">
        <f>SUM(T46:T49)</f>
        <v>5537831</v>
      </c>
      <c r="U50" s="18">
        <f t="shared" si="96"/>
        <v>8442.3689357686544</v>
      </c>
      <c r="V50" s="18">
        <f>SUM(V46:V49)</f>
        <v>10518420</v>
      </c>
      <c r="W50" s="18">
        <f t="shared" ref="W50:Y50" si="97">SUM(W46:W49)</f>
        <v>16035.227918903222</v>
      </c>
      <c r="X50" s="18">
        <f>SUM(X46:X49)</f>
        <v>14568666</v>
      </c>
      <c r="Y50" s="18">
        <f t="shared" si="97"/>
        <v>22209.788141600748</v>
      </c>
      <c r="Z50" s="47"/>
    </row>
    <row r="51" spans="1:26" ht="15" customHeight="1" x14ac:dyDescent="0.35">
      <c r="A51" s="63" t="s">
        <v>97</v>
      </c>
      <c r="B51" s="12"/>
      <c r="C51" s="3"/>
      <c r="D51" s="3"/>
      <c r="E51" s="13"/>
      <c r="F51" s="16">
        <f t="shared" ref="F51" si="98">+E51*655.957</f>
        <v>0</v>
      </c>
      <c r="G51" s="16"/>
      <c r="H51" s="12"/>
      <c r="I51" s="3"/>
      <c r="J51" s="3"/>
      <c r="K51" s="3"/>
      <c r="L51" s="13"/>
      <c r="M51" s="13"/>
      <c r="N51" s="13"/>
      <c r="O51" s="13"/>
      <c r="P51" s="13"/>
      <c r="Q51" s="13"/>
      <c r="R51" s="13"/>
      <c r="S51" s="12"/>
      <c r="T51" s="13"/>
      <c r="U51" s="13"/>
      <c r="V51" s="13"/>
      <c r="W51" s="13"/>
      <c r="X51" s="13"/>
      <c r="Y51" s="13"/>
      <c r="Z51" s="46"/>
    </row>
    <row r="52" spans="1:26" ht="15" customHeight="1" x14ac:dyDescent="0.35">
      <c r="A52" s="64" t="s">
        <v>161</v>
      </c>
      <c r="B52" s="15"/>
      <c r="C52" s="54"/>
      <c r="D52" s="54"/>
      <c r="E52" s="16"/>
      <c r="F52" s="16"/>
      <c r="G52" s="16"/>
      <c r="H52" s="15" t="s">
        <v>63</v>
      </c>
      <c r="I52" s="54">
        <v>1</v>
      </c>
      <c r="J52" s="54">
        <v>2000000</v>
      </c>
      <c r="K52" s="54">
        <f>J52/$B$2</f>
        <v>3048.9803447482077</v>
      </c>
      <c r="L52" s="16">
        <f>I52*J52</f>
        <v>2000000</v>
      </c>
      <c r="M52" s="16">
        <f t="shared" ref="M52" si="99">+L52/655.957</f>
        <v>3048.9803447482077</v>
      </c>
      <c r="N52" s="16"/>
      <c r="O52" s="16">
        <f>+N52/655.957</f>
        <v>0</v>
      </c>
      <c r="P52" s="16"/>
      <c r="Q52" s="16">
        <f>+P52/655.957</f>
        <v>0</v>
      </c>
      <c r="R52" s="16">
        <f>N52+P52</f>
        <v>0</v>
      </c>
      <c r="S52" s="15">
        <f>+R52/655.957</f>
        <v>0</v>
      </c>
      <c r="T52" s="16">
        <v>1882000</v>
      </c>
      <c r="U52" s="16">
        <f>+T52/655.957</f>
        <v>2869.0905044080632</v>
      </c>
      <c r="V52" s="16">
        <f>+R52+T52</f>
        <v>1882000</v>
      </c>
      <c r="W52" s="16">
        <f>+V52/655.957</f>
        <v>2869.0905044080632</v>
      </c>
      <c r="X52" s="16">
        <f>+L52-V52</f>
        <v>118000</v>
      </c>
      <c r="Y52" s="16">
        <f>+X52/655.957</f>
        <v>179.88984034014425</v>
      </c>
      <c r="Z52" s="43">
        <f>+V52/L52</f>
        <v>0.94099999999999995</v>
      </c>
    </row>
    <row r="53" spans="1:26" ht="15.65" customHeight="1" collapsed="1" x14ac:dyDescent="0.35">
      <c r="A53" s="65" t="s">
        <v>98</v>
      </c>
      <c r="B53" s="53"/>
      <c r="C53" s="17"/>
      <c r="D53" s="17"/>
      <c r="E53" s="18"/>
      <c r="F53" s="18"/>
      <c r="G53" s="21"/>
      <c r="H53" s="53"/>
      <c r="I53" s="17"/>
      <c r="J53" s="17"/>
      <c r="K53" s="17"/>
      <c r="L53" s="18">
        <f>SUM(L52:L52)</f>
        <v>2000000</v>
      </c>
      <c r="M53" s="18">
        <f>+L53/655.957</f>
        <v>3048.9803447482077</v>
      </c>
      <c r="N53" s="18">
        <f>SUM(N52)</f>
        <v>0</v>
      </c>
      <c r="O53" s="18">
        <f t="shared" ref="O53:S53" si="100">SUM(O52)</f>
        <v>0</v>
      </c>
      <c r="P53" s="18">
        <f t="shared" si="100"/>
        <v>0</v>
      </c>
      <c r="Q53" s="18">
        <f t="shared" si="100"/>
        <v>0</v>
      </c>
      <c r="R53" s="18">
        <f t="shared" si="100"/>
        <v>0</v>
      </c>
      <c r="S53" s="18">
        <f t="shared" si="100"/>
        <v>0</v>
      </c>
      <c r="T53" s="18">
        <f>SUM(T52)</f>
        <v>1882000</v>
      </c>
      <c r="U53" s="18">
        <f t="shared" ref="U53:Y53" si="101">+T53/655.957</f>
        <v>2869.0905044080632</v>
      </c>
      <c r="V53" s="18">
        <f>SUM(V52)</f>
        <v>1882000</v>
      </c>
      <c r="W53" s="18">
        <f t="shared" si="101"/>
        <v>2869.0905044080632</v>
      </c>
      <c r="X53" s="18">
        <f>SUM(X52)</f>
        <v>118000</v>
      </c>
      <c r="Y53" s="18">
        <f t="shared" si="101"/>
        <v>179.88984034014425</v>
      </c>
      <c r="Z53" s="47"/>
    </row>
    <row r="54" spans="1:26" ht="26.15" customHeight="1" x14ac:dyDescent="0.35">
      <c r="A54" s="67" t="s">
        <v>37</v>
      </c>
      <c r="B54" s="22"/>
      <c r="C54" s="23"/>
      <c r="D54" s="23"/>
      <c r="E54" s="24">
        <f>E22+E26+E44+E50+E53</f>
        <v>403551</v>
      </c>
      <c r="F54" s="24">
        <f>F22+F26+F44+F50+F53</f>
        <v>264712103.30700001</v>
      </c>
      <c r="G54" s="24">
        <f>F54/$F$152</f>
        <v>0.36984646706113805</v>
      </c>
      <c r="H54" s="22"/>
      <c r="I54" s="23"/>
      <c r="J54" s="23"/>
      <c r="K54" s="23"/>
      <c r="L54" s="24">
        <f>L22+L26+L44+L50+L53</f>
        <v>422183744.26199996</v>
      </c>
      <c r="M54" s="24">
        <f>M22+M26+M44+M50+M53</f>
        <v>643614.96906352101</v>
      </c>
      <c r="N54" s="24">
        <f>N22+N26+N44+N50+N53</f>
        <v>69080839.960000008</v>
      </c>
      <c r="O54" s="24">
        <f t="shared" ref="O54:Y54" si="102">O22+O26+O44+O50+O53</f>
        <v>105313.06161836827</v>
      </c>
      <c r="P54" s="24">
        <f t="shared" si="102"/>
        <v>67409191</v>
      </c>
      <c r="Q54" s="24">
        <f t="shared" si="102"/>
        <v>102764.64920718888</v>
      </c>
      <c r="R54" s="24">
        <f t="shared" si="102"/>
        <v>136490030.96000001</v>
      </c>
      <c r="S54" s="24">
        <f t="shared" si="102"/>
        <v>208077.71082555721</v>
      </c>
      <c r="T54" s="24">
        <f>T22+T26+T44+T50+T53</f>
        <v>86011520.5</v>
      </c>
      <c r="U54" s="24">
        <f>U22+U26+U44+U50+U53</f>
        <v>131123.71771320378</v>
      </c>
      <c r="V54" s="24">
        <f>V22+V26+V44+V50+V53</f>
        <v>222501551.46000001</v>
      </c>
      <c r="W54" s="24">
        <f>W22+W26+W44+W50+W53</f>
        <v>339201.42853876093</v>
      </c>
      <c r="X54" s="24">
        <f>X22+X26+X44+X50+X53</f>
        <v>199682192.80199999</v>
      </c>
      <c r="Y54" s="24">
        <f t="shared" si="102"/>
        <v>304413.54052475997</v>
      </c>
      <c r="Z54" s="48"/>
    </row>
    <row r="55" spans="1:26" ht="18.5" customHeight="1" x14ac:dyDescent="0.35">
      <c r="A55" s="66"/>
      <c r="B55" s="25"/>
      <c r="C55" s="54"/>
      <c r="D55" s="54"/>
      <c r="E55" s="54"/>
      <c r="F55" s="54"/>
      <c r="G55" s="54"/>
      <c r="H55" s="54"/>
      <c r="I55" s="54"/>
      <c r="J55" s="54"/>
      <c r="K55" s="54"/>
      <c r="L55" s="54"/>
      <c r="M55" s="54"/>
      <c r="N55" s="54"/>
      <c r="O55" s="54"/>
      <c r="P55" s="54"/>
      <c r="Q55" s="54"/>
      <c r="R55" s="54"/>
      <c r="S55" s="54"/>
      <c r="T55" s="54"/>
      <c r="U55" s="54"/>
      <c r="V55" s="54"/>
      <c r="W55" s="91"/>
      <c r="X55" s="91"/>
      <c r="Y55" s="91"/>
      <c r="Z55" s="49"/>
    </row>
    <row r="56" spans="1:26" ht="28" customHeight="1" x14ac:dyDescent="0.35">
      <c r="A56" s="63" t="s">
        <v>99</v>
      </c>
      <c r="B56" s="15"/>
      <c r="C56" s="25"/>
      <c r="D56" s="25"/>
      <c r="E56" s="16"/>
      <c r="F56" s="16">
        <f t="shared" si="0"/>
        <v>0</v>
      </c>
      <c r="G56" s="16"/>
      <c r="H56" s="15"/>
      <c r="I56" s="25"/>
      <c r="J56" s="25"/>
      <c r="K56" s="25"/>
      <c r="L56" s="16"/>
      <c r="M56" s="16"/>
      <c r="N56" s="16"/>
      <c r="O56" s="16"/>
      <c r="P56" s="16"/>
      <c r="Q56" s="16"/>
      <c r="R56" s="16"/>
      <c r="S56" s="15"/>
      <c r="T56" s="16"/>
      <c r="U56" s="16"/>
      <c r="V56" s="16"/>
      <c r="W56" s="16"/>
      <c r="X56" s="16"/>
      <c r="Y56" s="16"/>
      <c r="Z56" s="43"/>
    </row>
    <row r="57" spans="1:26" ht="28" customHeight="1" x14ac:dyDescent="0.35">
      <c r="A57" s="68" t="s">
        <v>153</v>
      </c>
      <c r="B57" s="15" t="s">
        <v>38</v>
      </c>
      <c r="C57" s="54">
        <v>1</v>
      </c>
      <c r="D57" s="16">
        <v>15245</v>
      </c>
      <c r="E57" s="16">
        <f t="shared" ref="E57:E70" si="103">C57*D57</f>
        <v>15245</v>
      </c>
      <c r="F57" s="16">
        <f t="shared" si="0"/>
        <v>10000064.465</v>
      </c>
      <c r="G57" s="16"/>
      <c r="H57" s="15" t="s">
        <v>38</v>
      </c>
      <c r="I57" s="54">
        <v>1</v>
      </c>
      <c r="J57" s="16">
        <v>10000000</v>
      </c>
      <c r="K57" s="54">
        <f>J57/$B$2</f>
        <v>15244.901723741039</v>
      </c>
      <c r="L57" s="16">
        <f>I57*J57</f>
        <v>10000000</v>
      </c>
      <c r="M57" s="16">
        <f>+L57/655.957</f>
        <v>15244.901723741039</v>
      </c>
      <c r="N57" s="16">
        <v>10129038</v>
      </c>
      <c r="O57" s="16">
        <f t="shared" ref="O57:O71" si="104">+N57/655.957</f>
        <v>15441.618886603848</v>
      </c>
      <c r="P57" s="16"/>
      <c r="Q57" s="16">
        <f t="shared" ref="Q57:Q71" si="105">+P57/655.957</f>
        <v>0</v>
      </c>
      <c r="R57" s="16">
        <f t="shared" ref="R57:R70" si="106">N57+P57</f>
        <v>10129038</v>
      </c>
      <c r="S57" s="15">
        <f t="shared" ref="S57:S71" si="107">+R57/655.957</f>
        <v>15441.618886603848</v>
      </c>
      <c r="T57" s="16"/>
      <c r="U57" s="16">
        <f t="shared" ref="U57:U71" si="108">+T57/655.957</f>
        <v>0</v>
      </c>
      <c r="V57" s="16">
        <f t="shared" ref="V57:V71" si="109">+R57+T57</f>
        <v>10129038</v>
      </c>
      <c r="W57" s="16">
        <f t="shared" ref="W57:W71" si="110">+V57/655.957</f>
        <v>15441.618886603848</v>
      </c>
      <c r="X57" s="16">
        <f t="shared" ref="X57:X71" si="111">+L57-V57</f>
        <v>-129038</v>
      </c>
      <c r="Y57" s="16">
        <f t="shared" ref="Y57" si="112">+X57/655.957</f>
        <v>-196.7171628628096</v>
      </c>
      <c r="Z57" s="43">
        <f>+V57/L57</f>
        <v>1.0129037999999999</v>
      </c>
    </row>
    <row r="58" spans="1:26" ht="28" customHeight="1" x14ac:dyDescent="0.35">
      <c r="A58" s="68" t="s">
        <v>146</v>
      </c>
      <c r="B58" s="15" t="s">
        <v>38</v>
      </c>
      <c r="C58" s="54">
        <v>1</v>
      </c>
      <c r="D58" s="16">
        <v>3811.2254309352597</v>
      </c>
      <c r="E58" s="16">
        <f t="shared" si="103"/>
        <v>3811.2254309352597</v>
      </c>
      <c r="F58" s="16">
        <f t="shared" si="0"/>
        <v>2500000</v>
      </c>
      <c r="G58" s="16"/>
      <c r="H58" s="15" t="s">
        <v>38</v>
      </c>
      <c r="I58" s="54">
        <v>1</v>
      </c>
      <c r="J58" s="16">
        <f>3811.22543093526*655.957</f>
        <v>2500000.0000000005</v>
      </c>
      <c r="K58" s="54">
        <f>J58/$B$2</f>
        <v>3811.2254309352602</v>
      </c>
      <c r="L58" s="16">
        <f t="shared" ref="L58:L71" si="113">I58*J58</f>
        <v>2500000.0000000005</v>
      </c>
      <c r="M58" s="16">
        <f t="shared" ref="M58:M71" si="114">+L58/655.957</f>
        <v>3811.2254309352602</v>
      </c>
      <c r="N58" s="16">
        <v>1347336</v>
      </c>
      <c r="O58" s="16">
        <f t="shared" si="104"/>
        <v>2054.0004908858355</v>
      </c>
      <c r="P58" s="16"/>
      <c r="Q58" s="16">
        <f t="shared" si="105"/>
        <v>0</v>
      </c>
      <c r="R58" s="16">
        <f t="shared" si="106"/>
        <v>1347336</v>
      </c>
      <c r="S58" s="15">
        <f t="shared" si="107"/>
        <v>2054.0004908858355</v>
      </c>
      <c r="T58" s="16"/>
      <c r="U58" s="16">
        <f t="shared" si="108"/>
        <v>0</v>
      </c>
      <c r="V58" s="16">
        <f t="shared" si="109"/>
        <v>1347336</v>
      </c>
      <c r="W58" s="16">
        <f t="shared" si="110"/>
        <v>2054.0004908858355</v>
      </c>
      <c r="X58" s="16">
        <f t="shared" si="111"/>
        <v>1152664.0000000005</v>
      </c>
      <c r="Y58" s="16">
        <f t="shared" ref="Y58" si="115">+X58/655.957</f>
        <v>1757.2249400494247</v>
      </c>
      <c r="Z58" s="43">
        <f>+V58/L58</f>
        <v>0.53893439999999992</v>
      </c>
    </row>
    <row r="59" spans="1:26" ht="28" customHeight="1" x14ac:dyDescent="0.35">
      <c r="A59" s="68" t="s">
        <v>147</v>
      </c>
      <c r="B59" s="15"/>
      <c r="C59" s="54"/>
      <c r="D59" s="16"/>
      <c r="E59" s="16"/>
      <c r="F59" s="16"/>
      <c r="G59" s="16"/>
      <c r="H59" s="15" t="s">
        <v>38</v>
      </c>
      <c r="I59" s="54">
        <v>1</v>
      </c>
      <c r="J59" s="16">
        <v>2500000</v>
      </c>
      <c r="K59" s="54">
        <f>J59/$B$2</f>
        <v>3811.2254309352597</v>
      </c>
      <c r="L59" s="16">
        <f t="shared" ref="L59" si="116">I59*J59</f>
        <v>2500000</v>
      </c>
      <c r="M59" s="16">
        <f t="shared" ref="M59" si="117">+L59/655.957</f>
        <v>3811.2254309352597</v>
      </c>
      <c r="N59" s="16"/>
      <c r="O59" s="16">
        <f t="shared" si="104"/>
        <v>0</v>
      </c>
      <c r="P59" s="16"/>
      <c r="Q59" s="16">
        <f t="shared" si="105"/>
        <v>0</v>
      </c>
      <c r="R59" s="16">
        <f t="shared" si="106"/>
        <v>0</v>
      </c>
      <c r="S59" s="15">
        <f t="shared" si="107"/>
        <v>0</v>
      </c>
      <c r="T59" s="16">
        <v>2500000</v>
      </c>
      <c r="U59" s="16">
        <f t="shared" si="108"/>
        <v>3811.2254309352597</v>
      </c>
      <c r="V59" s="16">
        <f t="shared" si="109"/>
        <v>2500000</v>
      </c>
      <c r="W59" s="16">
        <f t="shared" si="110"/>
        <v>3811.2254309352597</v>
      </c>
      <c r="X59" s="16">
        <f t="shared" si="111"/>
        <v>0</v>
      </c>
      <c r="Y59" s="16">
        <f t="shared" ref="Y59" si="118">+X59/655.957</f>
        <v>0</v>
      </c>
      <c r="Z59" s="43">
        <f>+V59/L59</f>
        <v>1</v>
      </c>
    </row>
    <row r="60" spans="1:26" ht="28" customHeight="1" x14ac:dyDescent="0.35">
      <c r="A60" s="68" t="s">
        <v>156</v>
      </c>
      <c r="B60" s="15" t="s">
        <v>39</v>
      </c>
      <c r="C60" s="54">
        <v>1</v>
      </c>
      <c r="D60" s="16">
        <v>22868</v>
      </c>
      <c r="E60" s="16">
        <f t="shared" si="103"/>
        <v>22868</v>
      </c>
      <c r="F60" s="16">
        <f t="shared" si="0"/>
        <v>15000424.675999999</v>
      </c>
      <c r="G60" s="16"/>
      <c r="H60" s="15" t="s">
        <v>39</v>
      </c>
      <c r="I60" s="54">
        <v>1</v>
      </c>
      <c r="J60" s="16">
        <v>15000000</v>
      </c>
      <c r="K60" s="54">
        <f>J60/$B$2</f>
        <v>22867.352585611556</v>
      </c>
      <c r="L60" s="16">
        <f t="shared" si="113"/>
        <v>15000000</v>
      </c>
      <c r="M60" s="16">
        <f t="shared" si="114"/>
        <v>22867.352585611556</v>
      </c>
      <c r="N60" s="16">
        <v>13677080</v>
      </c>
      <c r="O60" s="16">
        <f t="shared" si="104"/>
        <v>20850.574046774407</v>
      </c>
      <c r="P60" s="16"/>
      <c r="Q60" s="16">
        <f t="shared" si="105"/>
        <v>0</v>
      </c>
      <c r="R60" s="16">
        <f t="shared" si="106"/>
        <v>13677080</v>
      </c>
      <c r="S60" s="15">
        <f t="shared" si="107"/>
        <v>20850.574046774407</v>
      </c>
      <c r="T60" s="16">
        <v>0</v>
      </c>
      <c r="U60" s="16">
        <f t="shared" si="108"/>
        <v>0</v>
      </c>
      <c r="V60" s="16">
        <f t="shared" si="109"/>
        <v>13677080</v>
      </c>
      <c r="W60" s="16">
        <f t="shared" si="110"/>
        <v>20850.574046774407</v>
      </c>
      <c r="X60" s="16">
        <f t="shared" si="111"/>
        <v>1322920</v>
      </c>
      <c r="Y60" s="16">
        <f t="shared" ref="Y60" si="119">+X60/655.957</f>
        <v>2016.7785388371494</v>
      </c>
      <c r="Z60" s="43">
        <f>+V60/L60</f>
        <v>0.91180533333333336</v>
      </c>
    </row>
    <row r="61" spans="1:26" s="28" customFormat="1" ht="28" customHeight="1" x14ac:dyDescent="0.35">
      <c r="A61" s="69" t="s">
        <v>157</v>
      </c>
      <c r="B61" s="26"/>
      <c r="C61" s="27"/>
      <c r="D61" s="27"/>
      <c r="E61" s="27"/>
      <c r="F61" s="27"/>
      <c r="G61" s="27"/>
      <c r="H61" s="26" t="s">
        <v>41</v>
      </c>
      <c r="I61" s="27">
        <v>1</v>
      </c>
      <c r="J61" s="27">
        <v>5200000</v>
      </c>
      <c r="K61" s="27">
        <f>J61/$B$2</f>
        <v>7927.3488963453401</v>
      </c>
      <c r="L61" s="27">
        <f t="shared" si="113"/>
        <v>5200000</v>
      </c>
      <c r="M61" s="27">
        <f t="shared" si="114"/>
        <v>7927.3488963453401</v>
      </c>
      <c r="N61" s="27"/>
      <c r="O61" s="16">
        <f t="shared" si="104"/>
        <v>0</v>
      </c>
      <c r="P61" s="27"/>
      <c r="Q61" s="16">
        <f t="shared" si="105"/>
        <v>0</v>
      </c>
      <c r="R61" s="16">
        <f t="shared" si="106"/>
        <v>0</v>
      </c>
      <c r="S61" s="15">
        <f t="shared" si="107"/>
        <v>0</v>
      </c>
      <c r="T61" s="27">
        <v>4830461</v>
      </c>
      <c r="U61" s="16">
        <f t="shared" si="108"/>
        <v>7363.990322536386</v>
      </c>
      <c r="V61" s="16">
        <f t="shared" si="109"/>
        <v>4830461</v>
      </c>
      <c r="W61" s="16">
        <f t="shared" si="110"/>
        <v>7363.990322536386</v>
      </c>
      <c r="X61" s="16">
        <f t="shared" si="111"/>
        <v>369539</v>
      </c>
      <c r="Y61" s="16">
        <f t="shared" ref="Y61" si="120">+X61/655.957</f>
        <v>563.35857380895391</v>
      </c>
      <c r="Z61" s="43">
        <f>+V61/L61</f>
        <v>0.92893480769230774</v>
      </c>
    </row>
    <row r="62" spans="1:26" ht="28" customHeight="1" x14ac:dyDescent="0.35">
      <c r="A62" s="68" t="s">
        <v>155</v>
      </c>
      <c r="B62" s="15" t="s">
        <v>38</v>
      </c>
      <c r="C62" s="54">
        <v>1</v>
      </c>
      <c r="D62" s="16">
        <v>15245</v>
      </c>
      <c r="E62" s="16">
        <f t="shared" si="103"/>
        <v>15245</v>
      </c>
      <c r="F62" s="16">
        <f>+E62*655.957</f>
        <v>10000064.465</v>
      </c>
      <c r="G62" s="16"/>
      <c r="H62" s="15"/>
      <c r="I62" s="54"/>
      <c r="J62" s="16"/>
      <c r="K62" s="54"/>
      <c r="L62" s="16"/>
      <c r="M62" s="16"/>
      <c r="N62" s="16"/>
      <c r="O62" s="16">
        <f t="shared" si="104"/>
        <v>0</v>
      </c>
      <c r="P62" s="16"/>
      <c r="Q62" s="16">
        <f t="shared" si="105"/>
        <v>0</v>
      </c>
      <c r="R62" s="16">
        <f t="shared" si="106"/>
        <v>0</v>
      </c>
      <c r="S62" s="15">
        <f t="shared" si="107"/>
        <v>0</v>
      </c>
      <c r="T62" s="16"/>
      <c r="U62" s="16">
        <f t="shared" si="108"/>
        <v>0</v>
      </c>
      <c r="V62" s="16">
        <f t="shared" si="109"/>
        <v>0</v>
      </c>
      <c r="W62" s="16">
        <f t="shared" si="110"/>
        <v>0</v>
      </c>
      <c r="X62" s="16">
        <f t="shared" si="111"/>
        <v>0</v>
      </c>
      <c r="Y62" s="16"/>
      <c r="Z62" s="43"/>
    </row>
    <row r="63" spans="1:26" ht="28" customHeight="1" x14ac:dyDescent="0.35">
      <c r="A63" s="68" t="s">
        <v>75</v>
      </c>
      <c r="B63" s="15"/>
      <c r="C63" s="54"/>
      <c r="D63" s="16"/>
      <c r="E63" s="16"/>
      <c r="F63" s="16"/>
      <c r="G63" s="16"/>
      <c r="H63" s="15" t="s">
        <v>38</v>
      </c>
      <c r="I63" s="54">
        <v>4</v>
      </c>
      <c r="J63" s="16">
        <v>1500000</v>
      </c>
      <c r="K63" s="54">
        <f t="shared" ref="K63:K71" si="121">J63/$B$2</f>
        <v>2286.7352585611557</v>
      </c>
      <c r="L63" s="16">
        <f t="shared" si="113"/>
        <v>6000000</v>
      </c>
      <c r="M63" s="16">
        <f t="shared" si="114"/>
        <v>9146.9410342446226</v>
      </c>
      <c r="N63" s="16"/>
      <c r="O63" s="16">
        <f t="shared" si="104"/>
        <v>0</v>
      </c>
      <c r="P63" s="16">
        <v>1500000</v>
      </c>
      <c r="Q63" s="16">
        <f t="shared" si="105"/>
        <v>2286.7352585611557</v>
      </c>
      <c r="R63" s="16">
        <f t="shared" si="106"/>
        <v>1500000</v>
      </c>
      <c r="S63" s="15">
        <f t="shared" si="107"/>
        <v>2286.7352585611557</v>
      </c>
      <c r="T63" s="16">
        <v>773200</v>
      </c>
      <c r="U63" s="16">
        <f t="shared" si="108"/>
        <v>1178.7358012796572</v>
      </c>
      <c r="V63" s="16">
        <f t="shared" si="109"/>
        <v>2273200</v>
      </c>
      <c r="W63" s="16">
        <f t="shared" si="110"/>
        <v>3465.4710598408128</v>
      </c>
      <c r="X63" s="16">
        <f t="shared" si="111"/>
        <v>3726800</v>
      </c>
      <c r="Y63" s="16">
        <f t="shared" ref="Y63" si="122">+X63/655.957</f>
        <v>5681.4699744038098</v>
      </c>
      <c r="Z63" s="43">
        <f>+V63/L63</f>
        <v>0.37886666666666668</v>
      </c>
    </row>
    <row r="64" spans="1:26" ht="28" customHeight="1" x14ac:dyDescent="0.35">
      <c r="A64" s="68" t="s">
        <v>76</v>
      </c>
      <c r="B64" s="15"/>
      <c r="C64" s="54"/>
      <c r="D64" s="16"/>
      <c r="E64" s="16"/>
      <c r="F64" s="16"/>
      <c r="G64" s="16"/>
      <c r="H64" s="15" t="s">
        <v>38</v>
      </c>
      <c r="I64" s="54">
        <v>4</v>
      </c>
      <c r="J64" s="16">
        <v>1800000</v>
      </c>
      <c r="K64" s="54">
        <f t="shared" si="121"/>
        <v>2744.0823102733871</v>
      </c>
      <c r="L64" s="16">
        <f t="shared" si="113"/>
        <v>7200000</v>
      </c>
      <c r="M64" s="16">
        <f t="shared" si="114"/>
        <v>10976.329241093548</v>
      </c>
      <c r="N64" s="16"/>
      <c r="O64" s="16">
        <f t="shared" si="104"/>
        <v>0</v>
      </c>
      <c r="P64" s="16">
        <v>1522080</v>
      </c>
      <c r="Q64" s="16">
        <f t="shared" si="105"/>
        <v>2320.396001567176</v>
      </c>
      <c r="R64" s="16">
        <f t="shared" si="106"/>
        <v>1522080</v>
      </c>
      <c r="S64" s="15">
        <f t="shared" si="107"/>
        <v>2320.396001567176</v>
      </c>
      <c r="T64" s="16">
        <v>1068550</v>
      </c>
      <c r="U64" s="16">
        <f t="shared" si="108"/>
        <v>1628.9939736903486</v>
      </c>
      <c r="V64" s="16">
        <f t="shared" si="109"/>
        <v>2590630</v>
      </c>
      <c r="W64" s="16">
        <f t="shared" si="110"/>
        <v>3949.3899752575244</v>
      </c>
      <c r="X64" s="16">
        <f t="shared" si="111"/>
        <v>4609370</v>
      </c>
      <c r="Y64" s="16">
        <f t="shared" ref="Y64" si="123">+X64/655.957</f>
        <v>7026.939265836023</v>
      </c>
      <c r="Z64" s="43">
        <f>+V64/L64</f>
        <v>0.35980972222222224</v>
      </c>
    </row>
    <row r="65" spans="1:26" ht="28" customHeight="1" x14ac:dyDescent="0.35">
      <c r="A65" s="68" t="s">
        <v>77</v>
      </c>
      <c r="B65" s="15"/>
      <c r="C65" s="54"/>
      <c r="D65" s="16"/>
      <c r="E65" s="16"/>
      <c r="F65" s="16"/>
      <c r="G65" s="16"/>
      <c r="H65" s="15" t="s">
        <v>38</v>
      </c>
      <c r="I65" s="54">
        <v>8</v>
      </c>
      <c r="J65" s="16">
        <v>1500000</v>
      </c>
      <c r="K65" s="54">
        <f t="shared" si="121"/>
        <v>2286.7352585611557</v>
      </c>
      <c r="L65" s="16">
        <f t="shared" si="113"/>
        <v>12000000</v>
      </c>
      <c r="M65" s="16">
        <f t="shared" si="114"/>
        <v>18293.882068489245</v>
      </c>
      <c r="N65" s="16"/>
      <c r="O65" s="16">
        <f t="shared" si="104"/>
        <v>0</v>
      </c>
      <c r="P65" s="16">
        <v>1410600</v>
      </c>
      <c r="Q65" s="16">
        <f t="shared" si="105"/>
        <v>2150.4458371509108</v>
      </c>
      <c r="R65" s="16">
        <f t="shared" si="106"/>
        <v>1410600</v>
      </c>
      <c r="S65" s="15">
        <f t="shared" si="107"/>
        <v>2150.4458371509108</v>
      </c>
      <c r="T65" s="16">
        <v>1713360</v>
      </c>
      <c r="U65" s="16">
        <f t="shared" si="108"/>
        <v>2612.0004817388945</v>
      </c>
      <c r="V65" s="16">
        <f t="shared" si="109"/>
        <v>3123960</v>
      </c>
      <c r="W65" s="16">
        <f t="shared" si="110"/>
        <v>4762.4463188898053</v>
      </c>
      <c r="X65" s="16">
        <f t="shared" si="111"/>
        <v>8876040</v>
      </c>
      <c r="Y65" s="16">
        <f t="shared" ref="Y65" si="124">+X65/655.957</f>
        <v>13531.435749599441</v>
      </c>
      <c r="Z65" s="43">
        <f>+V65/L65</f>
        <v>0.26033000000000001</v>
      </c>
    </row>
    <row r="66" spans="1:26" ht="28" customHeight="1" x14ac:dyDescent="0.35">
      <c r="A66" s="68" t="s">
        <v>148</v>
      </c>
      <c r="B66" s="15" t="s">
        <v>40</v>
      </c>
      <c r="C66" s="54">
        <v>8</v>
      </c>
      <c r="D66" s="16">
        <v>3811</v>
      </c>
      <c r="E66" s="16">
        <f t="shared" si="103"/>
        <v>30488</v>
      </c>
      <c r="F66" s="16">
        <f t="shared" si="0"/>
        <v>19998817.015999999</v>
      </c>
      <c r="G66" s="16"/>
      <c r="H66" s="15" t="s">
        <v>40</v>
      </c>
      <c r="I66" s="54">
        <v>10</v>
      </c>
      <c r="J66" s="16">
        <v>2000000</v>
      </c>
      <c r="K66" s="54">
        <f t="shared" si="121"/>
        <v>3048.9803447482077</v>
      </c>
      <c r="L66" s="16">
        <f t="shared" si="113"/>
        <v>20000000</v>
      </c>
      <c r="M66" s="16">
        <f t="shared" si="114"/>
        <v>30489.803447482078</v>
      </c>
      <c r="N66" s="16">
        <v>2333141</v>
      </c>
      <c r="O66" s="16">
        <f t="shared" si="104"/>
        <v>3556.8505252630889</v>
      </c>
      <c r="P66" s="16">
        <v>4357434</v>
      </c>
      <c r="Q66" s="16">
        <f t="shared" si="105"/>
        <v>6642.8653097687802</v>
      </c>
      <c r="R66" s="16">
        <f t="shared" si="106"/>
        <v>6690575</v>
      </c>
      <c r="S66" s="15">
        <f t="shared" si="107"/>
        <v>10199.71583503187</v>
      </c>
      <c r="T66" s="84">
        <v>3468097.1355599998</v>
      </c>
      <c r="U66" s="16">
        <f t="shared" si="108"/>
        <v>5287.08</v>
      </c>
      <c r="V66" s="16">
        <f t="shared" si="109"/>
        <v>10158672.13556</v>
      </c>
      <c r="W66" s="16">
        <f t="shared" si="110"/>
        <v>15486.79583503187</v>
      </c>
      <c r="X66" s="16">
        <f t="shared" si="111"/>
        <v>9841327.8644399997</v>
      </c>
      <c r="Y66" s="16">
        <f t="shared" ref="Y66" si="125">+X66/655.957</f>
        <v>15003.007612450207</v>
      </c>
      <c r="Z66" s="43">
        <f>+V66/L66</f>
        <v>0.50793360677800004</v>
      </c>
    </row>
    <row r="67" spans="1:26" ht="28" customHeight="1" x14ac:dyDescent="0.35">
      <c r="A67" s="68" t="s">
        <v>154</v>
      </c>
      <c r="B67" s="15" t="s">
        <v>39</v>
      </c>
      <c r="C67" s="54">
        <v>2</v>
      </c>
      <c r="D67" s="16">
        <v>15245</v>
      </c>
      <c r="E67" s="16">
        <f t="shared" si="103"/>
        <v>30490</v>
      </c>
      <c r="F67" s="16">
        <f t="shared" si="0"/>
        <v>20000128.93</v>
      </c>
      <c r="G67" s="16"/>
      <c r="H67" s="15" t="s">
        <v>39</v>
      </c>
      <c r="I67" s="54"/>
      <c r="J67" s="16"/>
      <c r="K67" s="54">
        <f t="shared" si="121"/>
        <v>0</v>
      </c>
      <c r="L67" s="16"/>
      <c r="M67" s="16">
        <f t="shared" si="114"/>
        <v>0</v>
      </c>
      <c r="N67" s="16"/>
      <c r="O67" s="16">
        <f t="shared" si="104"/>
        <v>0</v>
      </c>
      <c r="P67" s="16"/>
      <c r="Q67" s="16">
        <f t="shared" si="105"/>
        <v>0</v>
      </c>
      <c r="R67" s="16">
        <f t="shared" si="106"/>
        <v>0</v>
      </c>
      <c r="S67" s="15">
        <f t="shared" si="107"/>
        <v>0</v>
      </c>
      <c r="T67" s="16"/>
      <c r="U67" s="16">
        <f t="shared" si="108"/>
        <v>0</v>
      </c>
      <c r="V67" s="16">
        <f t="shared" si="109"/>
        <v>0</v>
      </c>
      <c r="W67" s="16">
        <f t="shared" si="110"/>
        <v>0</v>
      </c>
      <c r="X67" s="16">
        <f t="shared" si="111"/>
        <v>0</v>
      </c>
      <c r="Y67" s="16">
        <f t="shared" ref="Y67" si="126">+X67/655.957</f>
        <v>0</v>
      </c>
      <c r="Z67" s="43"/>
    </row>
    <row r="68" spans="1:26" ht="28" customHeight="1" x14ac:dyDescent="0.35">
      <c r="A68" s="68" t="s">
        <v>149</v>
      </c>
      <c r="B68" s="15"/>
      <c r="C68" s="54"/>
      <c r="D68" s="16"/>
      <c r="E68" s="16"/>
      <c r="F68" s="16"/>
      <c r="G68" s="16"/>
      <c r="H68" s="15" t="s">
        <v>39</v>
      </c>
      <c r="I68" s="54">
        <v>1</v>
      </c>
      <c r="J68" s="16">
        <v>4000000</v>
      </c>
      <c r="K68" s="54">
        <f t="shared" si="121"/>
        <v>6097.9606894964154</v>
      </c>
      <c r="L68" s="16">
        <f t="shared" ref="L68:L69" si="127">I68*J68</f>
        <v>4000000</v>
      </c>
      <c r="M68" s="16">
        <f t="shared" si="114"/>
        <v>6097.9606894964154</v>
      </c>
      <c r="N68" s="16"/>
      <c r="O68" s="16">
        <f t="shared" si="104"/>
        <v>0</v>
      </c>
      <c r="P68" s="16"/>
      <c r="Q68" s="16">
        <f t="shared" si="105"/>
        <v>0</v>
      </c>
      <c r="R68" s="16">
        <f t="shared" si="106"/>
        <v>0</v>
      </c>
      <c r="S68" s="15">
        <f t="shared" si="107"/>
        <v>0</v>
      </c>
      <c r="T68" s="16"/>
      <c r="U68" s="16">
        <f t="shared" si="108"/>
        <v>0</v>
      </c>
      <c r="V68" s="16">
        <f t="shared" si="109"/>
        <v>0</v>
      </c>
      <c r="W68" s="16">
        <f t="shared" si="110"/>
        <v>0</v>
      </c>
      <c r="X68" s="16">
        <f t="shared" si="111"/>
        <v>4000000</v>
      </c>
      <c r="Y68" s="16">
        <f t="shared" ref="Y68" si="128">+X68/655.957</f>
        <v>6097.9606894964154</v>
      </c>
      <c r="Z68" s="43">
        <f>+V68/L68</f>
        <v>0</v>
      </c>
    </row>
    <row r="69" spans="1:26" ht="28" customHeight="1" x14ac:dyDescent="0.35">
      <c r="A69" s="68" t="s">
        <v>150</v>
      </c>
      <c r="B69" s="15"/>
      <c r="C69" s="54"/>
      <c r="D69" s="16"/>
      <c r="E69" s="16"/>
      <c r="F69" s="16"/>
      <c r="G69" s="16"/>
      <c r="H69" s="15" t="s">
        <v>39</v>
      </c>
      <c r="I69" s="54">
        <v>1</v>
      </c>
      <c r="J69" s="16">
        <v>10000000</v>
      </c>
      <c r="K69" s="54">
        <f t="shared" si="121"/>
        <v>15244.901723741039</v>
      </c>
      <c r="L69" s="16">
        <f t="shared" si="127"/>
        <v>10000000</v>
      </c>
      <c r="M69" s="16">
        <f t="shared" ref="M69" si="129">+L69/655.957</f>
        <v>15244.901723741039</v>
      </c>
      <c r="N69" s="16"/>
      <c r="O69" s="16">
        <f t="shared" si="104"/>
        <v>0</v>
      </c>
      <c r="P69" s="16"/>
      <c r="Q69" s="16">
        <f t="shared" si="105"/>
        <v>0</v>
      </c>
      <c r="R69" s="16">
        <f t="shared" si="106"/>
        <v>0</v>
      </c>
      <c r="S69" s="15">
        <f t="shared" si="107"/>
        <v>0</v>
      </c>
      <c r="T69" s="16"/>
      <c r="U69" s="16">
        <f t="shared" si="108"/>
        <v>0</v>
      </c>
      <c r="V69" s="16">
        <f t="shared" si="109"/>
        <v>0</v>
      </c>
      <c r="W69" s="16">
        <f t="shared" si="110"/>
        <v>0</v>
      </c>
      <c r="X69" s="16">
        <f t="shared" si="111"/>
        <v>10000000</v>
      </c>
      <c r="Y69" s="16">
        <f t="shared" ref="Y69" si="130">+X69/655.957</f>
        <v>15244.901723741039</v>
      </c>
      <c r="Z69" s="43">
        <f>+V69/L69</f>
        <v>0</v>
      </c>
    </row>
    <row r="70" spans="1:26" ht="28" customHeight="1" x14ac:dyDescent="0.35">
      <c r="A70" s="68" t="s">
        <v>151</v>
      </c>
      <c r="B70" s="15" t="s">
        <v>41</v>
      </c>
      <c r="C70" s="54">
        <v>1</v>
      </c>
      <c r="D70" s="16">
        <v>7622</v>
      </c>
      <c r="E70" s="16">
        <f t="shared" si="103"/>
        <v>7622</v>
      </c>
      <c r="F70" s="16">
        <f t="shared" si="0"/>
        <v>4999704.2539999997</v>
      </c>
      <c r="G70" s="16"/>
      <c r="H70" s="15" t="s">
        <v>41</v>
      </c>
      <c r="I70" s="54">
        <v>1</v>
      </c>
      <c r="J70" s="16">
        <v>7000000</v>
      </c>
      <c r="K70" s="54">
        <f t="shared" si="121"/>
        <v>10671.431206618727</v>
      </c>
      <c r="L70" s="16">
        <f t="shared" si="113"/>
        <v>7000000</v>
      </c>
      <c r="M70" s="16">
        <f t="shared" si="114"/>
        <v>10671.431206618727</v>
      </c>
      <c r="N70" s="16"/>
      <c r="O70" s="16">
        <f t="shared" si="104"/>
        <v>0</v>
      </c>
      <c r="P70" s="16"/>
      <c r="Q70" s="16">
        <f t="shared" si="105"/>
        <v>0</v>
      </c>
      <c r="R70" s="16">
        <f t="shared" si="106"/>
        <v>0</v>
      </c>
      <c r="S70" s="15">
        <f t="shared" si="107"/>
        <v>0</v>
      </c>
      <c r="T70" s="16">
        <v>2400000</v>
      </c>
      <c r="U70" s="16">
        <f t="shared" si="108"/>
        <v>3658.776413697849</v>
      </c>
      <c r="V70" s="16">
        <f t="shared" si="109"/>
        <v>2400000</v>
      </c>
      <c r="W70" s="16">
        <f t="shared" si="110"/>
        <v>3658.776413697849</v>
      </c>
      <c r="X70" s="16">
        <f t="shared" si="111"/>
        <v>4600000</v>
      </c>
      <c r="Y70" s="16">
        <f t="shared" ref="Y70" si="131">+X70/655.957</f>
        <v>7012.6547929208773</v>
      </c>
      <c r="Z70" s="43">
        <f>+V70/L70</f>
        <v>0.34285714285714286</v>
      </c>
    </row>
    <row r="71" spans="1:26" ht="28" customHeight="1" x14ac:dyDescent="0.35">
      <c r="A71" s="68" t="s">
        <v>152</v>
      </c>
      <c r="B71" s="15" t="s">
        <v>35</v>
      </c>
      <c r="C71" s="54">
        <v>4</v>
      </c>
      <c r="D71" s="54">
        <v>2000</v>
      </c>
      <c r="E71" s="16">
        <f>C71*D71</f>
        <v>8000</v>
      </c>
      <c r="F71" s="16">
        <f t="shared" ref="F71" si="132">+E71*655.957</f>
        <v>5247656</v>
      </c>
      <c r="G71" s="16"/>
      <c r="H71" s="15" t="s">
        <v>35</v>
      </c>
      <c r="I71" s="54">
        <v>5</v>
      </c>
      <c r="J71" s="54">
        <v>3000000</v>
      </c>
      <c r="K71" s="54">
        <f t="shared" si="121"/>
        <v>4573.4705171223113</v>
      </c>
      <c r="L71" s="16">
        <f t="shared" si="113"/>
        <v>15000000</v>
      </c>
      <c r="M71" s="16">
        <f t="shared" si="114"/>
        <v>22867.352585611556</v>
      </c>
      <c r="N71" s="16"/>
      <c r="O71" s="16">
        <f t="shared" si="104"/>
        <v>0</v>
      </c>
      <c r="P71" s="16">
        <v>2390000</v>
      </c>
      <c r="Q71" s="16">
        <f t="shared" si="105"/>
        <v>3643.5315119741081</v>
      </c>
      <c r="R71" s="16">
        <f>N71+P71</f>
        <v>2390000</v>
      </c>
      <c r="S71" s="15">
        <f t="shared" si="107"/>
        <v>3643.5315119741081</v>
      </c>
      <c r="T71" s="16">
        <v>2700000</v>
      </c>
      <c r="U71" s="16">
        <f t="shared" si="108"/>
        <v>4116.1234654100799</v>
      </c>
      <c r="V71" s="16">
        <f t="shared" si="109"/>
        <v>5090000</v>
      </c>
      <c r="W71" s="16">
        <f t="shared" si="110"/>
        <v>7759.654977384188</v>
      </c>
      <c r="X71" s="16">
        <f t="shared" si="111"/>
        <v>9910000</v>
      </c>
      <c r="Y71" s="16">
        <f t="shared" ref="Y71" si="133">+X71/655.957</f>
        <v>15107.697608227369</v>
      </c>
      <c r="Z71" s="43">
        <f>+V71/L71</f>
        <v>0.33933333333333332</v>
      </c>
    </row>
    <row r="72" spans="1:26" ht="28" customHeight="1" collapsed="1" x14ac:dyDescent="0.35">
      <c r="A72" s="70" t="s">
        <v>42</v>
      </c>
      <c r="B72" s="53"/>
      <c r="C72" s="17"/>
      <c r="D72" s="17"/>
      <c r="E72" s="18">
        <f>SUM(E57:E71)</f>
        <v>133769.22543093527</v>
      </c>
      <c r="F72" s="18">
        <f>SUM(F57:F71)</f>
        <v>87746859.805999979</v>
      </c>
      <c r="G72" s="19">
        <f>F72/$F$152</f>
        <v>0.12259683516367531</v>
      </c>
      <c r="H72" s="53"/>
      <c r="I72" s="17"/>
      <c r="J72" s="17"/>
      <c r="K72" s="17"/>
      <c r="L72" s="18">
        <f>SUM(L57:L71)</f>
        <v>116400000</v>
      </c>
      <c r="M72" s="18">
        <f>SUM(M57:M71)</f>
        <v>177450.65606434568</v>
      </c>
      <c r="N72" s="18">
        <f>SUM(N57:N71)</f>
        <v>27486595</v>
      </c>
      <c r="O72" s="18">
        <f t="shared" ref="O72:S72" si="134">SUM(O57:O71)</f>
        <v>41903.043949527171</v>
      </c>
      <c r="P72" s="18">
        <f t="shared" si="134"/>
        <v>11180114</v>
      </c>
      <c r="Q72" s="18">
        <f t="shared" si="134"/>
        <v>17043.97391902213</v>
      </c>
      <c r="R72" s="18">
        <f t="shared" si="134"/>
        <v>38666709</v>
      </c>
      <c r="S72" s="18">
        <f t="shared" si="134"/>
        <v>58947.017868549308</v>
      </c>
      <c r="T72" s="18">
        <f t="shared" ref="T72:Y72" si="135">SUM(T57:T71)</f>
        <v>19453668.135559998</v>
      </c>
      <c r="U72" s="18">
        <f t="shared" si="135"/>
        <v>29656.925889288475</v>
      </c>
      <c r="V72" s="18">
        <f>SUM(V57:V71)</f>
        <v>58120377.135559998</v>
      </c>
      <c r="W72" s="18">
        <f t="shared" si="135"/>
        <v>88603.943757837784</v>
      </c>
      <c r="X72" s="18">
        <f>SUM(X57:X71)</f>
        <v>58279622.864440002</v>
      </c>
      <c r="Y72" s="18">
        <f t="shared" si="135"/>
        <v>88846.712306507892</v>
      </c>
      <c r="Z72" s="47"/>
    </row>
    <row r="73" spans="1:26" ht="27.5" customHeight="1" x14ac:dyDescent="0.35">
      <c r="A73" s="58" t="s">
        <v>70</v>
      </c>
      <c r="B73" s="11"/>
      <c r="C73" s="11"/>
      <c r="D73" s="11"/>
      <c r="E73" s="11"/>
      <c r="F73" s="16">
        <f t="shared" si="0"/>
        <v>0</v>
      </c>
      <c r="G73" s="16"/>
      <c r="H73" s="15"/>
      <c r="I73" s="54"/>
      <c r="J73" s="54"/>
      <c r="K73" s="54"/>
      <c r="L73" s="16"/>
      <c r="M73" s="16"/>
      <c r="N73" s="16"/>
      <c r="O73" s="16"/>
      <c r="P73" s="16"/>
      <c r="Q73" s="16"/>
      <c r="R73" s="16"/>
      <c r="S73" s="15"/>
      <c r="T73" s="16"/>
      <c r="U73" s="16"/>
      <c r="V73" s="16"/>
      <c r="W73" s="16"/>
      <c r="X73" s="16"/>
      <c r="Y73" s="16"/>
      <c r="Z73" s="43"/>
    </row>
    <row r="74" spans="1:26" s="31" customFormat="1" ht="27.5" customHeight="1" x14ac:dyDescent="0.35">
      <c r="A74" s="58" t="s">
        <v>43</v>
      </c>
      <c r="B74" s="29" t="s">
        <v>41</v>
      </c>
      <c r="C74" s="30">
        <v>1</v>
      </c>
      <c r="D74" s="30">
        <v>15244.901723741039</v>
      </c>
      <c r="E74" s="30">
        <f t="shared" ref="E74:E95" si="136">C74*D74</f>
        <v>15244.901723741039</v>
      </c>
      <c r="F74" s="30">
        <f t="shared" si="0"/>
        <v>10000000</v>
      </c>
      <c r="G74" s="30"/>
      <c r="H74" s="29"/>
      <c r="I74" s="30"/>
      <c r="J74" s="30"/>
      <c r="K74" s="30"/>
      <c r="L74" s="30">
        <f>SUM(L75:L77)</f>
        <v>50000000</v>
      </c>
      <c r="M74" s="30">
        <f>SUM(M75:M77)</f>
        <v>76224.508618705178</v>
      </c>
      <c r="N74" s="30">
        <f t="shared" ref="N74:Y74" si="137">SUM(N75:N77)</f>
        <v>3517897</v>
      </c>
      <c r="O74" s="30">
        <f t="shared" si="137"/>
        <v>5362.9994039243429</v>
      </c>
      <c r="P74" s="30">
        <f t="shared" si="137"/>
        <v>2285593</v>
      </c>
      <c r="Q74" s="30">
        <f t="shared" si="137"/>
        <v>3484.3640665470452</v>
      </c>
      <c r="R74" s="30">
        <f t="shared" si="137"/>
        <v>5803490</v>
      </c>
      <c r="S74" s="30">
        <f t="shared" si="137"/>
        <v>8847.3634704713877</v>
      </c>
      <c r="T74" s="30">
        <f t="shared" si="137"/>
        <v>40462030</v>
      </c>
      <c r="U74" s="30">
        <f t="shared" si="137"/>
        <v>61683.967089306156</v>
      </c>
      <c r="V74" s="30">
        <f t="shared" si="137"/>
        <v>46265520</v>
      </c>
      <c r="W74" s="30">
        <f t="shared" si="137"/>
        <v>70531.330559777547</v>
      </c>
      <c r="X74" s="30">
        <f>SUM(X75:X77)</f>
        <v>3734480</v>
      </c>
      <c r="Y74" s="30">
        <f t="shared" si="137"/>
        <v>5693.1780589276432</v>
      </c>
      <c r="Z74" s="43">
        <f t="shared" ref="Z74:Z94" si="138">+V74/L74</f>
        <v>0.92531039999999998</v>
      </c>
    </row>
    <row r="75" spans="1:26" s="35" customFormat="1" ht="27.5" hidden="1" customHeight="1" outlineLevel="1" x14ac:dyDescent="0.35">
      <c r="A75" s="71" t="s">
        <v>43</v>
      </c>
      <c r="B75" s="158" t="s">
        <v>109</v>
      </c>
      <c r="C75" s="158"/>
      <c r="D75" s="158"/>
      <c r="E75" s="158"/>
      <c r="F75" s="158"/>
      <c r="G75" s="32"/>
      <c r="H75" s="26" t="s">
        <v>41</v>
      </c>
      <c r="I75" s="33">
        <v>1</v>
      </c>
      <c r="J75" s="33">
        <v>8000000</v>
      </c>
      <c r="K75" s="33">
        <f>J75/$B$2</f>
        <v>12195.921378992831</v>
      </c>
      <c r="L75" s="33">
        <f t="shared" ref="L75" si="139">I75*J75</f>
        <v>8000000</v>
      </c>
      <c r="M75" s="33">
        <f t="shared" ref="M75" si="140">+L75/655.957</f>
        <v>12195.921378992831</v>
      </c>
      <c r="N75" s="33">
        <v>3517897</v>
      </c>
      <c r="O75" s="16">
        <f t="shared" ref="O75:O94" si="141">+N75/655.957</f>
        <v>5362.9994039243429</v>
      </c>
      <c r="P75" s="33"/>
      <c r="Q75" s="16">
        <f t="shared" ref="Q75:Q94" si="142">+P75/655.957</f>
        <v>0</v>
      </c>
      <c r="R75" s="16">
        <f t="shared" ref="R75:R93" si="143">N75+P75</f>
        <v>3517897</v>
      </c>
      <c r="S75" s="15">
        <f t="shared" ref="S75:S94" si="144">+R75/655.957</f>
        <v>5362.9994039243429</v>
      </c>
      <c r="T75" s="33"/>
      <c r="U75" s="16">
        <f t="shared" ref="U75:U94" si="145">+T75/655.957</f>
        <v>0</v>
      </c>
      <c r="V75" s="16">
        <f>+R75+T75</f>
        <v>3517897</v>
      </c>
      <c r="W75" s="16">
        <f t="shared" ref="W75:W94" si="146">+V75/655.957</f>
        <v>5362.9994039243429</v>
      </c>
      <c r="X75" s="16">
        <f>+L75-V75</f>
        <v>4482103</v>
      </c>
      <c r="Y75" s="16">
        <f t="shared" ref="Y75" si="147">+X75/655.957</f>
        <v>6832.9219750684879</v>
      </c>
      <c r="Z75" s="43">
        <f t="shared" si="138"/>
        <v>0.43973712500000001</v>
      </c>
    </row>
    <row r="76" spans="1:26" s="36" customFormat="1" ht="27.5" hidden="1" customHeight="1" outlineLevel="1" x14ac:dyDescent="0.35">
      <c r="A76" s="71" t="s">
        <v>78</v>
      </c>
      <c r="B76" s="26"/>
      <c r="C76" s="34"/>
      <c r="D76" s="34"/>
      <c r="E76" s="34"/>
      <c r="F76" s="34"/>
      <c r="G76" s="34"/>
      <c r="H76" s="26" t="s">
        <v>41</v>
      </c>
      <c r="I76" s="33">
        <v>2</v>
      </c>
      <c r="J76" s="33">
        <v>6000000</v>
      </c>
      <c r="K76" s="33">
        <f>J76/$B$2</f>
        <v>9146.9410342446226</v>
      </c>
      <c r="L76" s="33">
        <f t="shared" ref="L76:L95" si="148">I76*J76</f>
        <v>12000000</v>
      </c>
      <c r="M76" s="33">
        <f t="shared" ref="M76:M95" si="149">+L76/655.957</f>
        <v>18293.882068489245</v>
      </c>
      <c r="N76" s="33"/>
      <c r="O76" s="16">
        <f t="shared" si="141"/>
        <v>0</v>
      </c>
      <c r="P76" s="33">
        <v>2285593</v>
      </c>
      <c r="Q76" s="16">
        <f t="shared" si="142"/>
        <v>3484.3640665470452</v>
      </c>
      <c r="R76" s="16">
        <f t="shared" si="143"/>
        <v>2285593</v>
      </c>
      <c r="S76" s="15">
        <f t="shared" si="144"/>
        <v>3484.3640665470452</v>
      </c>
      <c r="T76" s="33">
        <v>8537280</v>
      </c>
      <c r="U76" s="16">
        <f t="shared" si="145"/>
        <v>13014.999458805989</v>
      </c>
      <c r="V76" s="16">
        <f>+R76+T76</f>
        <v>10822873</v>
      </c>
      <c r="W76" s="16">
        <f t="shared" si="146"/>
        <v>16499.363525353034</v>
      </c>
      <c r="X76" s="16">
        <f>+L76-V76</f>
        <v>1177127</v>
      </c>
      <c r="Y76" s="16">
        <f t="shared" ref="Y76" si="150">+X76/655.957</f>
        <v>1794.5185431362117</v>
      </c>
      <c r="Z76" s="43">
        <f t="shared" si="138"/>
        <v>0.90190608333333333</v>
      </c>
    </row>
    <row r="77" spans="1:26" s="36" customFormat="1" ht="27.5" hidden="1" customHeight="1" outlineLevel="1" x14ac:dyDescent="0.35">
      <c r="A77" s="71" t="s">
        <v>144</v>
      </c>
      <c r="B77" s="26"/>
      <c r="C77" s="34"/>
      <c r="D77" s="34"/>
      <c r="E77" s="34"/>
      <c r="F77" s="34"/>
      <c r="G77" s="34"/>
      <c r="H77" s="26" t="s">
        <v>41</v>
      </c>
      <c r="I77" s="33">
        <v>1</v>
      </c>
      <c r="J77" s="33">
        <v>30000000</v>
      </c>
      <c r="K77" s="33">
        <f>J77/$B$2</f>
        <v>45734.705171223111</v>
      </c>
      <c r="L77" s="33">
        <f t="shared" si="148"/>
        <v>30000000</v>
      </c>
      <c r="M77" s="33">
        <f>+L77/655.957</f>
        <v>45734.705171223111</v>
      </c>
      <c r="N77" s="33"/>
      <c r="O77" s="16">
        <f t="shared" si="141"/>
        <v>0</v>
      </c>
      <c r="P77" s="33"/>
      <c r="Q77" s="16">
        <f t="shared" si="142"/>
        <v>0</v>
      </c>
      <c r="R77" s="16">
        <f t="shared" si="143"/>
        <v>0</v>
      </c>
      <c r="S77" s="15">
        <f t="shared" si="144"/>
        <v>0</v>
      </c>
      <c r="T77" s="33">
        <v>31924750</v>
      </c>
      <c r="U77" s="16">
        <f t="shared" si="145"/>
        <v>48668.96763050017</v>
      </c>
      <c r="V77" s="16">
        <f>+R77+T77</f>
        <v>31924750</v>
      </c>
      <c r="W77" s="16">
        <f t="shared" si="146"/>
        <v>48668.96763050017</v>
      </c>
      <c r="X77" s="16">
        <f>+L77-V77</f>
        <v>-1924750</v>
      </c>
      <c r="Y77" s="16">
        <f t="shared" ref="Y77" si="151">+X77/655.957</f>
        <v>-2934.2624592770562</v>
      </c>
      <c r="Z77" s="43">
        <f t="shared" si="138"/>
        <v>1.0641583333333333</v>
      </c>
    </row>
    <row r="78" spans="1:26" s="31" customFormat="1" ht="44.5" customHeight="1" collapsed="1" x14ac:dyDescent="0.35">
      <c r="A78" s="58" t="s">
        <v>87</v>
      </c>
      <c r="B78" s="29" t="s">
        <v>41</v>
      </c>
      <c r="C78" s="30">
        <v>4</v>
      </c>
      <c r="D78" s="30">
        <v>3812</v>
      </c>
      <c r="E78" s="30">
        <f t="shared" si="136"/>
        <v>15248</v>
      </c>
      <c r="F78" s="30">
        <f t="shared" si="0"/>
        <v>10002032.335999999</v>
      </c>
      <c r="G78" s="30"/>
      <c r="H78" s="29"/>
      <c r="I78" s="30"/>
      <c r="J78" s="30" t="s">
        <v>0</v>
      </c>
      <c r="K78" s="30"/>
      <c r="L78" s="30">
        <f>SUM(L79:L80)</f>
        <v>13530590</v>
      </c>
      <c r="M78" s="30">
        <f>SUM(M79:M80)</f>
        <v>20627.251481423325</v>
      </c>
      <c r="N78" s="30">
        <f t="shared" ref="N78:Y78" si="152">SUM(N79:N80)</f>
        <v>0</v>
      </c>
      <c r="O78" s="30">
        <f t="shared" si="152"/>
        <v>0</v>
      </c>
      <c r="P78" s="30">
        <f t="shared" si="152"/>
        <v>9530590</v>
      </c>
      <c r="Q78" s="30">
        <f t="shared" si="152"/>
        <v>14529.290791926909</v>
      </c>
      <c r="R78" s="30">
        <f t="shared" si="152"/>
        <v>9530590</v>
      </c>
      <c r="S78" s="30">
        <f t="shared" si="152"/>
        <v>14529.290791926909</v>
      </c>
      <c r="T78" s="30">
        <f t="shared" si="152"/>
        <v>0</v>
      </c>
      <c r="U78" s="30">
        <f t="shared" si="152"/>
        <v>0</v>
      </c>
      <c r="V78" s="30">
        <f t="shared" si="152"/>
        <v>9530590</v>
      </c>
      <c r="W78" s="30">
        <f t="shared" si="152"/>
        <v>14529.290791926909</v>
      </c>
      <c r="X78" s="30">
        <f>SUM(X79:X80)</f>
        <v>4000000</v>
      </c>
      <c r="Y78" s="30">
        <f t="shared" si="152"/>
        <v>6097.9606894964154</v>
      </c>
      <c r="Z78" s="43">
        <f t="shared" si="138"/>
        <v>0.70437357129290001</v>
      </c>
    </row>
    <row r="79" spans="1:26" s="35" customFormat="1" ht="47.5" hidden="1" customHeight="1" outlineLevel="1" x14ac:dyDescent="0.35">
      <c r="A79" s="71" t="s">
        <v>87</v>
      </c>
      <c r="B79" s="158" t="s">
        <v>109</v>
      </c>
      <c r="C79" s="158"/>
      <c r="D79" s="158"/>
      <c r="E79" s="158"/>
      <c r="F79" s="158"/>
      <c r="G79" s="32"/>
      <c r="H79" s="33" t="s">
        <v>41</v>
      </c>
      <c r="I79" s="33">
        <v>1</v>
      </c>
      <c r="J79" s="33">
        <v>9530590</v>
      </c>
      <c r="K79" s="33">
        <f>J79/$B$2</f>
        <v>14529.290791926909</v>
      </c>
      <c r="L79" s="33">
        <f t="shared" ref="L79" si="153">+K79*655.957</f>
        <v>9530590</v>
      </c>
      <c r="M79" s="33">
        <f>+L79/655.957</f>
        <v>14529.290791926909</v>
      </c>
      <c r="N79" s="33"/>
      <c r="O79" s="16">
        <f t="shared" si="141"/>
        <v>0</v>
      </c>
      <c r="P79" s="33">
        <v>9530590</v>
      </c>
      <c r="Q79" s="16">
        <f t="shared" si="142"/>
        <v>14529.290791926909</v>
      </c>
      <c r="R79" s="16">
        <f t="shared" si="143"/>
        <v>9530590</v>
      </c>
      <c r="S79" s="15">
        <f t="shared" si="144"/>
        <v>14529.290791926909</v>
      </c>
      <c r="T79" s="33"/>
      <c r="U79" s="16">
        <f t="shared" si="145"/>
        <v>0</v>
      </c>
      <c r="V79" s="16">
        <f>+R79+T79</f>
        <v>9530590</v>
      </c>
      <c r="W79" s="16">
        <f t="shared" si="146"/>
        <v>14529.290791926909</v>
      </c>
      <c r="X79" s="16">
        <f>+L79-V79</f>
        <v>0</v>
      </c>
      <c r="Y79" s="16">
        <f t="shared" ref="Y79" si="154">+X79/655.957</f>
        <v>0</v>
      </c>
      <c r="Z79" s="43">
        <f t="shared" si="138"/>
        <v>1</v>
      </c>
    </row>
    <row r="80" spans="1:26" s="37" customFormat="1" ht="18" hidden="1" customHeight="1" outlineLevel="1" x14ac:dyDescent="0.35">
      <c r="A80" s="71" t="s">
        <v>80</v>
      </c>
      <c r="B80" s="33"/>
      <c r="C80" s="33"/>
      <c r="D80" s="33"/>
      <c r="E80" s="33"/>
      <c r="F80" s="33"/>
      <c r="G80" s="33"/>
      <c r="H80" s="33" t="s">
        <v>41</v>
      </c>
      <c r="I80" s="33">
        <v>1</v>
      </c>
      <c r="J80" s="33">
        <v>4000000</v>
      </c>
      <c r="K80" s="33">
        <f>J80/$B$2</f>
        <v>6097.9606894964154</v>
      </c>
      <c r="L80" s="33">
        <f t="shared" si="148"/>
        <v>4000000</v>
      </c>
      <c r="M80" s="33">
        <f>+L80/655.957</f>
        <v>6097.9606894964154</v>
      </c>
      <c r="N80" s="33"/>
      <c r="O80" s="16">
        <f t="shared" si="141"/>
        <v>0</v>
      </c>
      <c r="P80" s="33"/>
      <c r="Q80" s="16">
        <f t="shared" si="142"/>
        <v>0</v>
      </c>
      <c r="R80" s="16">
        <f t="shared" si="143"/>
        <v>0</v>
      </c>
      <c r="S80" s="15">
        <f t="shared" si="144"/>
        <v>0</v>
      </c>
      <c r="T80" s="33"/>
      <c r="U80" s="16">
        <f t="shared" si="145"/>
        <v>0</v>
      </c>
      <c r="V80" s="16">
        <f>+R80+T80</f>
        <v>0</v>
      </c>
      <c r="W80" s="16">
        <f t="shared" si="146"/>
        <v>0</v>
      </c>
      <c r="X80" s="16">
        <f>+L80-V80</f>
        <v>4000000</v>
      </c>
      <c r="Y80" s="16">
        <f t="shared" ref="Y80" si="155">+X80/655.957</f>
        <v>6097.9606894964154</v>
      </c>
      <c r="Z80" s="43">
        <f t="shared" si="138"/>
        <v>0</v>
      </c>
    </row>
    <row r="81" spans="1:26" s="31" customFormat="1" ht="51" customHeight="1" collapsed="1" x14ac:dyDescent="0.35">
      <c r="A81" s="58" t="s">
        <v>106</v>
      </c>
      <c r="B81" s="29" t="s">
        <v>41</v>
      </c>
      <c r="C81" s="30">
        <v>2</v>
      </c>
      <c r="D81" s="30">
        <v>33539</v>
      </c>
      <c r="E81" s="30">
        <f t="shared" si="136"/>
        <v>67078</v>
      </c>
      <c r="F81" s="30">
        <f t="shared" si="0"/>
        <v>44000283.645999998</v>
      </c>
      <c r="G81" s="30"/>
      <c r="H81" s="29" t="s">
        <v>41</v>
      </c>
      <c r="I81" s="30">
        <v>1</v>
      </c>
      <c r="J81" s="30">
        <v>17200000</v>
      </c>
      <c r="K81" s="30">
        <f>J81/$B$2</f>
        <v>26221.230964834587</v>
      </c>
      <c r="L81" s="30">
        <f>I81*J81</f>
        <v>17200000</v>
      </c>
      <c r="M81" s="30">
        <f t="shared" si="149"/>
        <v>26221.230964834587</v>
      </c>
      <c r="N81" s="30"/>
      <c r="O81" s="13">
        <f t="shared" si="141"/>
        <v>0</v>
      </c>
      <c r="P81" s="30">
        <v>17171592</v>
      </c>
      <c r="Q81" s="13">
        <f t="shared" si="142"/>
        <v>26177.923248017782</v>
      </c>
      <c r="R81" s="13">
        <f t="shared" si="143"/>
        <v>17171592</v>
      </c>
      <c r="S81" s="12">
        <f t="shared" si="144"/>
        <v>26177.923248017782</v>
      </c>
      <c r="T81" s="30"/>
      <c r="U81" s="13">
        <f t="shared" si="145"/>
        <v>0</v>
      </c>
      <c r="V81" s="13">
        <f>+R81+T81</f>
        <v>17171592</v>
      </c>
      <c r="W81" s="13">
        <f t="shared" si="146"/>
        <v>26177.923248017782</v>
      </c>
      <c r="X81" s="13">
        <f>+L81-V81</f>
        <v>28408</v>
      </c>
      <c r="Y81" s="13">
        <f t="shared" ref="Y81" si="156">+X81/655.957</f>
        <v>43.307716816803541</v>
      </c>
      <c r="Z81" s="46">
        <f t="shared" si="138"/>
        <v>0.9983483720930233</v>
      </c>
    </row>
    <row r="82" spans="1:26" s="31" customFormat="1" ht="43" customHeight="1" x14ac:dyDescent="0.35">
      <c r="A82" s="58" t="s">
        <v>85</v>
      </c>
      <c r="B82" s="29" t="s">
        <v>41</v>
      </c>
      <c r="C82" s="30">
        <v>1</v>
      </c>
      <c r="D82" s="30">
        <v>18293.882068489245</v>
      </c>
      <c r="E82" s="30">
        <f>C82*D82</f>
        <v>18293.882068489245</v>
      </c>
      <c r="F82" s="30">
        <f>+E82*655.957</f>
        <v>12000000</v>
      </c>
      <c r="G82" s="30"/>
      <c r="H82" s="29" t="s">
        <v>41</v>
      </c>
      <c r="I82" s="30">
        <v>1</v>
      </c>
      <c r="J82" s="30">
        <v>6000000</v>
      </c>
      <c r="K82" s="30">
        <f>J82/$B$2</f>
        <v>9146.9410342446226</v>
      </c>
      <c r="L82" s="30">
        <f>I82*J82</f>
        <v>6000000</v>
      </c>
      <c r="M82" s="30">
        <f>+L82/655.957</f>
        <v>9146.9410342446226</v>
      </c>
      <c r="N82" s="30"/>
      <c r="O82" s="13">
        <f t="shared" si="141"/>
        <v>0</v>
      </c>
      <c r="P82" s="30">
        <v>3564882</v>
      </c>
      <c r="Q82" s="13">
        <f t="shared" si="142"/>
        <v>5434.62757467334</v>
      </c>
      <c r="R82" s="13">
        <f t="shared" si="143"/>
        <v>3564882</v>
      </c>
      <c r="S82" s="12">
        <f t="shared" si="144"/>
        <v>5434.62757467334</v>
      </c>
      <c r="T82" s="30">
        <v>1352583</v>
      </c>
      <c r="U82" s="13">
        <f t="shared" si="145"/>
        <v>2061.9994908202825</v>
      </c>
      <c r="V82" s="13">
        <f>+R82+T82</f>
        <v>4917465</v>
      </c>
      <c r="W82" s="13">
        <f t="shared" si="146"/>
        <v>7496.6270654936225</v>
      </c>
      <c r="X82" s="13">
        <f>+L82-V82</f>
        <v>1082535</v>
      </c>
      <c r="Y82" s="13">
        <f t="shared" ref="Y82" si="157">+X82/655.957</f>
        <v>1650.3139687510004</v>
      </c>
      <c r="Z82" s="46">
        <f t="shared" si="138"/>
        <v>0.81957749999999996</v>
      </c>
    </row>
    <row r="83" spans="1:26" s="31" customFormat="1" ht="27.5" customHeight="1" x14ac:dyDescent="0.35">
      <c r="A83" s="58" t="s">
        <v>110</v>
      </c>
      <c r="B83" s="29"/>
      <c r="C83" s="30"/>
      <c r="D83" s="30"/>
      <c r="E83" s="30"/>
      <c r="F83" s="30"/>
      <c r="G83" s="30"/>
      <c r="H83" s="29"/>
      <c r="I83" s="30"/>
      <c r="J83" s="30"/>
      <c r="K83" s="30"/>
      <c r="L83" s="30">
        <f>SUM(L84:L90)</f>
        <v>213080000</v>
      </c>
      <c r="M83" s="30">
        <f>SUM(M84:M90)</f>
        <v>324838.36592947401</v>
      </c>
      <c r="N83" s="30">
        <f t="shared" ref="N83:Y83" si="158">SUM(N84:N90)</f>
        <v>0</v>
      </c>
      <c r="O83" s="30">
        <f t="shared" si="158"/>
        <v>0</v>
      </c>
      <c r="P83" s="30">
        <f t="shared" si="158"/>
        <v>0</v>
      </c>
      <c r="Q83" s="30">
        <f t="shared" si="158"/>
        <v>0</v>
      </c>
      <c r="R83" s="30">
        <f t="shared" si="158"/>
        <v>0</v>
      </c>
      <c r="S83" s="30">
        <f t="shared" si="158"/>
        <v>0</v>
      </c>
      <c r="T83" s="30">
        <f t="shared" si="158"/>
        <v>117285542</v>
      </c>
      <c r="U83" s="30">
        <f t="shared" si="158"/>
        <v>178800.65614057021</v>
      </c>
      <c r="V83" s="30">
        <f t="shared" si="158"/>
        <v>117285542</v>
      </c>
      <c r="W83" s="30">
        <f t="shared" si="158"/>
        <v>178800.65614057021</v>
      </c>
      <c r="X83" s="30">
        <f>SUM(X84:X90)</f>
        <v>95794458</v>
      </c>
      <c r="Y83" s="30">
        <f t="shared" si="158"/>
        <v>146037.70978890386</v>
      </c>
      <c r="Z83" s="43">
        <f t="shared" si="138"/>
        <v>0.55042961329078277</v>
      </c>
    </row>
    <row r="84" spans="1:26" s="36" customFormat="1" ht="27.5" hidden="1" customHeight="1" outlineLevel="1" x14ac:dyDescent="0.35">
      <c r="A84" s="71" t="s">
        <v>111</v>
      </c>
      <c r="B84" s="26"/>
      <c r="C84" s="34"/>
      <c r="D84" s="34"/>
      <c r="E84" s="34"/>
      <c r="F84" s="34"/>
      <c r="G84" s="34"/>
      <c r="H84" s="26" t="s">
        <v>41</v>
      </c>
      <c r="I84" s="34">
        <v>1</v>
      </c>
      <c r="J84" s="34">
        <v>500000</v>
      </c>
      <c r="K84" s="34">
        <f t="shared" ref="K84:K90" si="159">J84/$B$2</f>
        <v>762.24508618705192</v>
      </c>
      <c r="L84" s="34">
        <f t="shared" si="148"/>
        <v>500000</v>
      </c>
      <c r="M84" s="34">
        <f t="shared" si="149"/>
        <v>762.24508618705192</v>
      </c>
      <c r="N84" s="34"/>
      <c r="O84" s="16">
        <f t="shared" si="141"/>
        <v>0</v>
      </c>
      <c r="P84" s="34"/>
      <c r="Q84" s="16">
        <f t="shared" si="142"/>
        <v>0</v>
      </c>
      <c r="R84" s="16">
        <f t="shared" si="143"/>
        <v>0</v>
      </c>
      <c r="S84" s="15">
        <f t="shared" si="144"/>
        <v>0</v>
      </c>
      <c r="T84" s="34">
        <v>169000</v>
      </c>
      <c r="U84" s="16">
        <f t="shared" si="145"/>
        <v>257.63883913122356</v>
      </c>
      <c r="V84" s="16">
        <f t="shared" ref="V84:V90" si="160">+R84+T84</f>
        <v>169000</v>
      </c>
      <c r="W84" s="16">
        <f t="shared" si="146"/>
        <v>257.63883913122356</v>
      </c>
      <c r="X84" s="16">
        <f t="shared" ref="X84:X90" si="161">+L84-V84</f>
        <v>331000</v>
      </c>
      <c r="Y84" s="16">
        <f t="shared" ref="Y84" si="162">+X84/655.957</f>
        <v>504.60624705582836</v>
      </c>
      <c r="Z84" s="43">
        <f t="shared" si="138"/>
        <v>0.33800000000000002</v>
      </c>
    </row>
    <row r="85" spans="1:26" s="36" customFormat="1" ht="27.5" hidden="1" customHeight="1" outlineLevel="1" x14ac:dyDescent="0.35">
      <c r="A85" s="71" t="s">
        <v>112</v>
      </c>
      <c r="B85" s="26"/>
      <c r="C85" s="34"/>
      <c r="D85" s="34"/>
      <c r="E85" s="34"/>
      <c r="F85" s="34"/>
      <c r="G85" s="34"/>
      <c r="H85" s="26" t="s">
        <v>41</v>
      </c>
      <c r="I85" s="34">
        <v>29</v>
      </c>
      <c r="J85" s="34">
        <f>31000000/29</f>
        <v>1068965.5172413792</v>
      </c>
      <c r="K85" s="34">
        <f t="shared" si="159"/>
        <v>1629.6274256412833</v>
      </c>
      <c r="L85" s="34">
        <f t="shared" si="148"/>
        <v>31000000</v>
      </c>
      <c r="M85" s="34">
        <f t="shared" si="149"/>
        <v>47259.195343597217</v>
      </c>
      <c r="N85" s="34"/>
      <c r="O85" s="16">
        <f t="shared" si="141"/>
        <v>0</v>
      </c>
      <c r="P85" s="34"/>
      <c r="Q85" s="16">
        <f t="shared" si="142"/>
        <v>0</v>
      </c>
      <c r="R85" s="16">
        <f t="shared" si="143"/>
        <v>0</v>
      </c>
      <c r="S85" s="15">
        <f t="shared" si="144"/>
        <v>0</v>
      </c>
      <c r="T85" s="34">
        <v>27183500</v>
      </c>
      <c r="U85" s="16">
        <f t="shared" si="145"/>
        <v>41440.978600731454</v>
      </c>
      <c r="V85" s="16">
        <f t="shared" si="160"/>
        <v>27183500</v>
      </c>
      <c r="W85" s="16">
        <f t="shared" si="146"/>
        <v>41440.978600731454</v>
      </c>
      <c r="X85" s="16">
        <f t="shared" si="161"/>
        <v>3816500</v>
      </c>
      <c r="Y85" s="16">
        <f t="shared" ref="Y85" si="163">+X85/655.957</f>
        <v>5818.2167428657667</v>
      </c>
      <c r="Z85" s="43">
        <f t="shared" si="138"/>
        <v>0.87688709677419352</v>
      </c>
    </row>
    <row r="86" spans="1:26" s="36" customFormat="1" ht="27.5" hidden="1" customHeight="1" outlineLevel="1" x14ac:dyDescent="0.35">
      <c r="A86" s="71" t="s">
        <v>113</v>
      </c>
      <c r="B86" s="26"/>
      <c r="C86" s="34"/>
      <c r="D86" s="34"/>
      <c r="E86" s="34"/>
      <c r="F86" s="34"/>
      <c r="G86" s="34"/>
      <c r="H86" s="26" t="s">
        <v>41</v>
      </c>
      <c r="I86" s="34">
        <v>1</v>
      </c>
      <c r="J86" s="34">
        <v>7000000</v>
      </c>
      <c r="K86" s="34">
        <f t="shared" si="159"/>
        <v>10671.431206618727</v>
      </c>
      <c r="L86" s="34">
        <f t="shared" ref="L86" si="164">I86*J86</f>
        <v>7000000</v>
      </c>
      <c r="M86" s="34">
        <f t="shared" ref="M86" si="165">+L86/655.957</f>
        <v>10671.431206618727</v>
      </c>
      <c r="N86" s="34"/>
      <c r="O86" s="16">
        <f t="shared" si="141"/>
        <v>0</v>
      </c>
      <c r="P86" s="34"/>
      <c r="Q86" s="16">
        <f t="shared" si="142"/>
        <v>0</v>
      </c>
      <c r="R86" s="16">
        <f t="shared" si="143"/>
        <v>0</v>
      </c>
      <c r="S86" s="15">
        <f t="shared" si="144"/>
        <v>0</v>
      </c>
      <c r="T86" s="34">
        <v>6930902</v>
      </c>
      <c r="U86" s="16">
        <f t="shared" si="145"/>
        <v>10566.091984688021</v>
      </c>
      <c r="V86" s="16">
        <f t="shared" si="160"/>
        <v>6930902</v>
      </c>
      <c r="W86" s="16">
        <f t="shared" si="146"/>
        <v>10566.091984688021</v>
      </c>
      <c r="X86" s="16">
        <f t="shared" si="161"/>
        <v>69098</v>
      </c>
      <c r="Y86" s="16">
        <f t="shared" ref="Y86" si="166">+X86/655.957</f>
        <v>105.33922193070582</v>
      </c>
      <c r="Z86" s="43">
        <f t="shared" si="138"/>
        <v>0.99012885714285714</v>
      </c>
    </row>
    <row r="87" spans="1:26" s="36" customFormat="1" ht="27.5" hidden="1" customHeight="1" outlineLevel="1" x14ac:dyDescent="0.35">
      <c r="A87" s="71" t="s">
        <v>114</v>
      </c>
      <c r="B87" s="26"/>
      <c r="C87" s="34"/>
      <c r="D87" s="34"/>
      <c r="E87" s="34"/>
      <c r="F87" s="34"/>
      <c r="G87" s="34"/>
      <c r="H87" s="26" t="s">
        <v>41</v>
      </c>
      <c r="I87" s="34">
        <v>1</v>
      </c>
      <c r="J87" s="34">
        <v>3500000</v>
      </c>
      <c r="K87" s="34">
        <f t="shared" si="159"/>
        <v>5335.7156033093634</v>
      </c>
      <c r="L87" s="34">
        <f t="shared" ref="L87" si="167">I87*J87</f>
        <v>3500000</v>
      </c>
      <c r="M87" s="34">
        <f t="shared" ref="M87" si="168">+L87/655.957</f>
        <v>5335.7156033093634</v>
      </c>
      <c r="N87" s="34"/>
      <c r="O87" s="16">
        <f t="shared" si="141"/>
        <v>0</v>
      </c>
      <c r="P87" s="34"/>
      <c r="Q87" s="16">
        <f t="shared" si="142"/>
        <v>0</v>
      </c>
      <c r="R87" s="16">
        <f t="shared" si="143"/>
        <v>0</v>
      </c>
      <c r="S87" s="15">
        <f t="shared" si="144"/>
        <v>0</v>
      </c>
      <c r="T87" s="34">
        <v>3150000</v>
      </c>
      <c r="U87" s="16">
        <f t="shared" si="145"/>
        <v>4802.144042978427</v>
      </c>
      <c r="V87" s="16">
        <f t="shared" si="160"/>
        <v>3150000</v>
      </c>
      <c r="W87" s="16">
        <f t="shared" si="146"/>
        <v>4802.144042978427</v>
      </c>
      <c r="X87" s="16">
        <f t="shared" si="161"/>
        <v>350000</v>
      </c>
      <c r="Y87" s="16">
        <f t="shared" ref="Y87" si="169">+X87/655.957</f>
        <v>533.57156033093634</v>
      </c>
      <c r="Z87" s="43">
        <f t="shared" si="138"/>
        <v>0.9</v>
      </c>
    </row>
    <row r="88" spans="1:26" s="36" customFormat="1" ht="27.5" hidden="1" customHeight="1" outlineLevel="1" x14ac:dyDescent="0.35">
      <c r="A88" s="71" t="s">
        <v>115</v>
      </c>
      <c r="B88" s="26"/>
      <c r="C88" s="34"/>
      <c r="D88" s="34"/>
      <c r="E88" s="34"/>
      <c r="F88" s="34"/>
      <c r="G88" s="34"/>
      <c r="H88" s="26" t="s">
        <v>13</v>
      </c>
      <c r="I88" s="34">
        <v>24</v>
      </c>
      <c r="J88" s="34">
        <v>6670000</v>
      </c>
      <c r="K88" s="34">
        <f t="shared" si="159"/>
        <v>10168.349449735273</v>
      </c>
      <c r="L88" s="34">
        <f t="shared" si="148"/>
        <v>160080000</v>
      </c>
      <c r="M88" s="34">
        <f t="shared" si="149"/>
        <v>244040.38679364652</v>
      </c>
      <c r="N88" s="34"/>
      <c r="O88" s="16">
        <f t="shared" si="141"/>
        <v>0</v>
      </c>
      <c r="P88" s="34"/>
      <c r="Q88" s="16">
        <f t="shared" si="142"/>
        <v>0</v>
      </c>
      <c r="R88" s="16">
        <f t="shared" si="143"/>
        <v>0</v>
      </c>
      <c r="S88" s="15">
        <f t="shared" si="144"/>
        <v>0</v>
      </c>
      <c r="T88" s="34">
        <v>79129640</v>
      </c>
      <c r="U88" s="16">
        <f t="shared" si="145"/>
        <v>120632.35852350078</v>
      </c>
      <c r="V88" s="16">
        <f t="shared" si="160"/>
        <v>79129640</v>
      </c>
      <c r="W88" s="16">
        <f t="shared" si="146"/>
        <v>120632.35852350078</v>
      </c>
      <c r="X88" s="16">
        <f t="shared" si="161"/>
        <v>80950360</v>
      </c>
      <c r="Y88" s="16">
        <f t="shared" ref="Y88" si="170">+X88/655.957</f>
        <v>123408.02827014576</v>
      </c>
      <c r="Z88" s="43">
        <f t="shared" si="138"/>
        <v>0.49431309345327334</v>
      </c>
    </row>
    <row r="89" spans="1:26" s="36" customFormat="1" ht="27.5" hidden="1" customHeight="1" outlineLevel="1" x14ac:dyDescent="0.35">
      <c r="A89" s="71" t="s">
        <v>116</v>
      </c>
      <c r="B89" s="26"/>
      <c r="C89" s="34"/>
      <c r="D89" s="34"/>
      <c r="E89" s="34"/>
      <c r="F89" s="34"/>
      <c r="G89" s="34"/>
      <c r="H89" s="26" t="s">
        <v>41</v>
      </c>
      <c r="I89" s="34">
        <v>1</v>
      </c>
      <c r="J89" s="34">
        <v>7000000</v>
      </c>
      <c r="K89" s="34">
        <f t="shared" si="159"/>
        <v>10671.431206618727</v>
      </c>
      <c r="L89" s="34">
        <f t="shared" si="148"/>
        <v>7000000</v>
      </c>
      <c r="M89" s="34">
        <f t="shared" si="149"/>
        <v>10671.431206618727</v>
      </c>
      <c r="N89" s="34"/>
      <c r="O89" s="16">
        <f t="shared" si="141"/>
        <v>0</v>
      </c>
      <c r="P89" s="34"/>
      <c r="Q89" s="16">
        <f t="shared" si="142"/>
        <v>0</v>
      </c>
      <c r="R89" s="16">
        <f t="shared" si="143"/>
        <v>0</v>
      </c>
      <c r="S89" s="15">
        <f t="shared" si="144"/>
        <v>0</v>
      </c>
      <c r="T89" s="34"/>
      <c r="U89" s="16">
        <f t="shared" si="145"/>
        <v>0</v>
      </c>
      <c r="V89" s="16">
        <f t="shared" si="160"/>
        <v>0</v>
      </c>
      <c r="W89" s="16">
        <f t="shared" si="146"/>
        <v>0</v>
      </c>
      <c r="X89" s="16">
        <f t="shared" si="161"/>
        <v>7000000</v>
      </c>
      <c r="Y89" s="16">
        <f t="shared" ref="Y89" si="171">+X89/655.957</f>
        <v>10671.431206618727</v>
      </c>
      <c r="Z89" s="43">
        <f t="shared" si="138"/>
        <v>0</v>
      </c>
    </row>
    <row r="90" spans="1:26" s="36" customFormat="1" ht="27.5" hidden="1" customHeight="1" outlineLevel="1" x14ac:dyDescent="0.35">
      <c r="A90" s="71" t="s">
        <v>117</v>
      </c>
      <c r="B90" s="26"/>
      <c r="C90" s="34"/>
      <c r="D90" s="34"/>
      <c r="E90" s="34"/>
      <c r="F90" s="34"/>
      <c r="G90" s="34"/>
      <c r="H90" s="26" t="s">
        <v>41</v>
      </c>
      <c r="I90" s="34">
        <v>1</v>
      </c>
      <c r="J90" s="34">
        <v>4000000</v>
      </c>
      <c r="K90" s="34">
        <f t="shared" si="159"/>
        <v>6097.9606894964154</v>
      </c>
      <c r="L90" s="34">
        <f t="shared" ref="L90" si="172">I90*J90</f>
        <v>4000000</v>
      </c>
      <c r="M90" s="34">
        <f t="shared" ref="M90" si="173">+L90/655.957</f>
        <v>6097.9606894964154</v>
      </c>
      <c r="N90" s="34"/>
      <c r="O90" s="16">
        <f t="shared" si="141"/>
        <v>0</v>
      </c>
      <c r="P90" s="34"/>
      <c r="Q90" s="16">
        <f t="shared" si="142"/>
        <v>0</v>
      </c>
      <c r="R90" s="16">
        <f t="shared" si="143"/>
        <v>0</v>
      </c>
      <c r="S90" s="15">
        <f t="shared" si="144"/>
        <v>0</v>
      </c>
      <c r="T90" s="34">
        <v>722500</v>
      </c>
      <c r="U90" s="16">
        <f t="shared" si="145"/>
        <v>1101.44414954029</v>
      </c>
      <c r="V90" s="16">
        <f t="shared" si="160"/>
        <v>722500</v>
      </c>
      <c r="W90" s="16">
        <f t="shared" si="146"/>
        <v>1101.44414954029</v>
      </c>
      <c r="X90" s="16">
        <f t="shared" si="161"/>
        <v>3277500</v>
      </c>
      <c r="Y90" s="16">
        <f t="shared" ref="Y90" si="174">+X90/655.957</f>
        <v>4996.5165399561256</v>
      </c>
      <c r="Z90" s="43">
        <f t="shared" si="138"/>
        <v>0.18062500000000001</v>
      </c>
    </row>
    <row r="91" spans="1:26" s="31" customFormat="1" ht="27.5" customHeight="1" collapsed="1" x14ac:dyDescent="0.35">
      <c r="A91" s="58" t="s">
        <v>120</v>
      </c>
      <c r="B91" s="32"/>
      <c r="C91" s="30"/>
      <c r="D91" s="30"/>
      <c r="E91" s="30"/>
      <c r="F91" s="30"/>
      <c r="G91" s="30"/>
      <c r="H91" s="30"/>
      <c r="I91" s="30"/>
      <c r="J91" s="30"/>
      <c r="K91" s="30"/>
      <c r="L91" s="30">
        <f>SUM(L92:L95)</f>
        <v>35715000</v>
      </c>
      <c r="M91" s="30">
        <f>SUM(M92:M95)</f>
        <v>54447.16650634112</v>
      </c>
      <c r="N91" s="30">
        <f t="shared" ref="N91:Y91" si="175">SUM(N92:N95)</f>
        <v>3215000</v>
      </c>
      <c r="O91" s="30">
        <f t="shared" si="175"/>
        <v>4901.235904182744</v>
      </c>
      <c r="P91" s="30">
        <f t="shared" si="175"/>
        <v>10873110</v>
      </c>
      <c r="Q91" s="30">
        <f t="shared" si="175"/>
        <v>16575.949338142593</v>
      </c>
      <c r="R91" s="30">
        <f t="shared" si="175"/>
        <v>14088110</v>
      </c>
      <c r="S91" s="30">
        <f t="shared" si="175"/>
        <v>21477.185242325337</v>
      </c>
      <c r="T91" s="30">
        <f t="shared" si="175"/>
        <v>17961920</v>
      </c>
      <c r="U91" s="30">
        <f t="shared" si="175"/>
        <v>27382.770516969864</v>
      </c>
      <c r="V91" s="30">
        <f t="shared" si="175"/>
        <v>32050030</v>
      </c>
      <c r="W91" s="30">
        <f t="shared" si="175"/>
        <v>48859.955759295197</v>
      </c>
      <c r="X91" s="30">
        <f>SUM(X92:X95)</f>
        <v>3664970</v>
      </c>
      <c r="Y91" s="30">
        <f t="shared" si="175"/>
        <v>5587.2107470459187</v>
      </c>
      <c r="Z91" s="43">
        <f t="shared" si="138"/>
        <v>0.89738289234215318</v>
      </c>
    </row>
    <row r="92" spans="1:26" s="35" customFormat="1" ht="27.5" hidden="1" customHeight="1" outlineLevel="1" x14ac:dyDescent="0.35">
      <c r="A92" s="72" t="s">
        <v>120</v>
      </c>
      <c r="B92" s="158" t="s">
        <v>109</v>
      </c>
      <c r="C92" s="158"/>
      <c r="D92" s="158"/>
      <c r="E92" s="158"/>
      <c r="F92" s="158"/>
      <c r="G92" s="32"/>
      <c r="H92" s="15" t="s">
        <v>41</v>
      </c>
      <c r="I92" s="25">
        <v>1</v>
      </c>
      <c r="J92" s="38">
        <v>4715000</v>
      </c>
      <c r="K92" s="34">
        <f>J92/$B$2</f>
        <v>7187.9711627438992</v>
      </c>
      <c r="L92" s="38">
        <f t="shared" ref="L92" si="176">I92*J92</f>
        <v>4715000</v>
      </c>
      <c r="M92" s="38">
        <f t="shared" ref="M92" si="177">+L92/655.957</f>
        <v>7187.9711627438992</v>
      </c>
      <c r="N92" s="38">
        <v>0</v>
      </c>
      <c r="O92" s="16">
        <f t="shared" si="141"/>
        <v>0</v>
      </c>
      <c r="P92" s="38">
        <v>4715000</v>
      </c>
      <c r="Q92" s="16">
        <f t="shared" si="142"/>
        <v>7187.9711627438992</v>
      </c>
      <c r="R92" s="16">
        <f t="shared" si="143"/>
        <v>4715000</v>
      </c>
      <c r="S92" s="15">
        <f t="shared" si="144"/>
        <v>7187.9711627438992</v>
      </c>
      <c r="T92" s="38"/>
      <c r="U92" s="16">
        <f t="shared" si="145"/>
        <v>0</v>
      </c>
      <c r="V92" s="16">
        <f>+R92+T92</f>
        <v>4715000</v>
      </c>
      <c r="W92" s="16">
        <f t="shared" si="146"/>
        <v>7187.9711627438992</v>
      </c>
      <c r="X92" s="16">
        <f>+L92-V92</f>
        <v>0</v>
      </c>
      <c r="Y92" s="16">
        <f t="shared" ref="Y92" si="178">+X92/655.957</f>
        <v>0</v>
      </c>
      <c r="Z92" s="43">
        <f t="shared" si="138"/>
        <v>1</v>
      </c>
    </row>
    <row r="93" spans="1:26" s="6" customFormat="1" ht="27.5" hidden="1" customHeight="1" outlineLevel="1" x14ac:dyDescent="0.35">
      <c r="A93" s="72" t="s">
        <v>121</v>
      </c>
      <c r="B93" s="15"/>
      <c r="C93" s="25"/>
      <c r="D93" s="38"/>
      <c r="E93" s="38"/>
      <c r="F93" s="38"/>
      <c r="G93" s="38"/>
      <c r="H93" s="15" t="s">
        <v>41</v>
      </c>
      <c r="I93" s="25">
        <v>1</v>
      </c>
      <c r="J93" s="38">
        <v>15000000</v>
      </c>
      <c r="K93" s="34">
        <f>J93/$B$2</f>
        <v>22867.352585611556</v>
      </c>
      <c r="L93" s="38">
        <f t="shared" si="148"/>
        <v>15000000</v>
      </c>
      <c r="M93" s="38">
        <f t="shared" si="149"/>
        <v>22867.352585611556</v>
      </c>
      <c r="N93" s="38">
        <v>0</v>
      </c>
      <c r="O93" s="16">
        <f t="shared" si="141"/>
        <v>0</v>
      </c>
      <c r="P93" s="38">
        <v>3358110</v>
      </c>
      <c r="Q93" s="16">
        <f t="shared" si="142"/>
        <v>5119.405692751202</v>
      </c>
      <c r="R93" s="16">
        <f t="shared" si="143"/>
        <v>3358110</v>
      </c>
      <c r="S93" s="15">
        <f t="shared" si="144"/>
        <v>5119.405692751202</v>
      </c>
      <c r="T93" s="38">
        <v>14081920</v>
      </c>
      <c r="U93" s="16">
        <f t="shared" si="145"/>
        <v>21467.74864815834</v>
      </c>
      <c r="V93" s="16">
        <f>+R93+T93</f>
        <v>17440030</v>
      </c>
      <c r="W93" s="16">
        <f t="shared" si="146"/>
        <v>26587.154340909543</v>
      </c>
      <c r="X93" s="16">
        <f>+L93-V93</f>
        <v>-2440030</v>
      </c>
      <c r="Y93" s="16">
        <f t="shared" ref="Y93" si="179">+X93/655.957</f>
        <v>-3719.8017552979845</v>
      </c>
      <c r="Z93" s="43">
        <f t="shared" si="138"/>
        <v>1.1626686666666666</v>
      </c>
    </row>
    <row r="94" spans="1:26" s="36" customFormat="1" ht="27.5" hidden="1" customHeight="1" outlineLevel="1" x14ac:dyDescent="0.35">
      <c r="A94" s="71" t="s">
        <v>122</v>
      </c>
      <c r="B94" s="26"/>
      <c r="C94" s="34"/>
      <c r="D94" s="34"/>
      <c r="E94" s="34"/>
      <c r="F94" s="34"/>
      <c r="G94" s="34"/>
      <c r="H94" s="26" t="s">
        <v>41</v>
      </c>
      <c r="I94" s="34">
        <v>4</v>
      </c>
      <c r="J94" s="34">
        <v>4000000</v>
      </c>
      <c r="K94" s="34">
        <f>J94/$B$2</f>
        <v>6097.9606894964154</v>
      </c>
      <c r="L94" s="34">
        <f t="shared" si="148"/>
        <v>16000000</v>
      </c>
      <c r="M94" s="34">
        <f t="shared" si="149"/>
        <v>24391.842757985662</v>
      </c>
      <c r="N94" s="34">
        <v>3215000</v>
      </c>
      <c r="O94" s="16">
        <f t="shared" si="141"/>
        <v>4901.235904182744</v>
      </c>
      <c r="P94" s="34">
        <v>2800000</v>
      </c>
      <c r="Q94" s="16">
        <f t="shared" si="142"/>
        <v>4268.5724826474907</v>
      </c>
      <c r="R94" s="16">
        <f>N94+P94</f>
        <v>6015000</v>
      </c>
      <c r="S94" s="15">
        <f t="shared" si="144"/>
        <v>9169.8083868302347</v>
      </c>
      <c r="T94" s="34">
        <v>3880000</v>
      </c>
      <c r="U94" s="16">
        <f t="shared" si="145"/>
        <v>5915.0218688115228</v>
      </c>
      <c r="V94" s="16">
        <f>+R94+T94</f>
        <v>9895000</v>
      </c>
      <c r="W94" s="16">
        <f t="shared" si="146"/>
        <v>15084.830255641757</v>
      </c>
      <c r="X94" s="16">
        <f>+L94-V94</f>
        <v>6105000</v>
      </c>
      <c r="Y94" s="16">
        <f t="shared" ref="Y94" si="180">+X94/655.957</f>
        <v>9307.0125023439032</v>
      </c>
      <c r="Z94" s="43">
        <f t="shared" si="138"/>
        <v>0.61843749999999997</v>
      </c>
    </row>
    <row r="95" spans="1:26" s="31" customFormat="1" ht="27.5" hidden="1" customHeight="1" outlineLevel="1" collapsed="1" x14ac:dyDescent="0.35">
      <c r="A95" s="58" t="s">
        <v>44</v>
      </c>
      <c r="B95" s="29" t="s">
        <v>41</v>
      </c>
      <c r="C95" s="30">
        <v>1</v>
      </c>
      <c r="D95" s="30">
        <v>22867</v>
      </c>
      <c r="E95" s="30">
        <f t="shared" si="136"/>
        <v>22867</v>
      </c>
      <c r="F95" s="30">
        <f t="shared" si="0"/>
        <v>14999768.719000001</v>
      </c>
      <c r="G95" s="30"/>
      <c r="H95" s="29" t="s">
        <v>41</v>
      </c>
      <c r="I95" s="30">
        <v>0</v>
      </c>
      <c r="J95" s="30">
        <v>0</v>
      </c>
      <c r="K95" s="30"/>
      <c r="L95" s="30">
        <f t="shared" si="148"/>
        <v>0</v>
      </c>
      <c r="M95" s="30">
        <f t="shared" si="149"/>
        <v>0</v>
      </c>
      <c r="N95" s="30"/>
      <c r="O95" s="30"/>
      <c r="P95" s="30"/>
      <c r="Q95" s="30"/>
      <c r="R95" s="30"/>
      <c r="S95" s="29"/>
      <c r="T95" s="30"/>
      <c r="U95" s="30"/>
      <c r="V95" s="30"/>
      <c r="W95" s="30"/>
      <c r="X95" s="30"/>
      <c r="Y95" s="30"/>
      <c r="Z95" s="50"/>
    </row>
    <row r="96" spans="1:26" ht="27.5" customHeight="1" collapsed="1" x14ac:dyDescent="0.35">
      <c r="A96" s="70" t="s">
        <v>45</v>
      </c>
      <c r="B96" s="53"/>
      <c r="C96" s="17"/>
      <c r="D96" s="17"/>
      <c r="E96" s="18">
        <f>E74+E78+E81+E82+E83+E91+E95</f>
        <v>138731.78379223027</v>
      </c>
      <c r="F96" s="18">
        <f>F74+F78+F81+F82+F83+F91+F95</f>
        <v>91002084.70099999</v>
      </c>
      <c r="G96" s="19">
        <f>F96/$F$152</f>
        <v>0.12714492122345383</v>
      </c>
      <c r="H96" s="53"/>
      <c r="I96" s="17"/>
      <c r="J96" s="17"/>
      <c r="K96" s="17"/>
      <c r="L96" s="18">
        <f t="shared" ref="L96:S96" si="181">L74+L78+L81+L82+L83+L91+L95</f>
        <v>335525590</v>
      </c>
      <c r="M96" s="18">
        <f t="shared" si="181"/>
        <v>511505.46453502285</v>
      </c>
      <c r="N96" s="18">
        <f t="shared" si="181"/>
        <v>6732897</v>
      </c>
      <c r="O96" s="18">
        <f t="shared" si="181"/>
        <v>10264.235308107087</v>
      </c>
      <c r="P96" s="18">
        <f t="shared" si="181"/>
        <v>43425767</v>
      </c>
      <c r="Q96" s="18">
        <f t="shared" si="181"/>
        <v>66202.155019307669</v>
      </c>
      <c r="R96" s="18">
        <f t="shared" si="181"/>
        <v>50158664</v>
      </c>
      <c r="S96" s="18">
        <f t="shared" si="181"/>
        <v>76466.39032741476</v>
      </c>
      <c r="T96" s="18">
        <f t="shared" ref="T96:Y96" si="182">T74+T78+T81+T82+T83+T91+T95</f>
        <v>177062075</v>
      </c>
      <c r="U96" s="18">
        <f t="shared" si="182"/>
        <v>269929.39323766652</v>
      </c>
      <c r="V96" s="18">
        <f t="shared" si="182"/>
        <v>227220739</v>
      </c>
      <c r="W96" s="18">
        <f t="shared" si="182"/>
        <v>346395.78356508125</v>
      </c>
      <c r="X96" s="18">
        <f t="shared" si="182"/>
        <v>108304851</v>
      </c>
      <c r="Y96" s="18">
        <f t="shared" si="182"/>
        <v>165109.68096994166</v>
      </c>
      <c r="Z96" s="47"/>
    </row>
    <row r="97" spans="1:26" ht="27.5" customHeight="1" x14ac:dyDescent="0.35">
      <c r="A97" s="58" t="s">
        <v>126</v>
      </c>
      <c r="B97" s="15"/>
      <c r="C97" s="54"/>
      <c r="D97" s="16"/>
      <c r="E97" s="16"/>
      <c r="F97" s="16"/>
      <c r="G97" s="16"/>
      <c r="H97" s="15"/>
      <c r="I97" s="54"/>
      <c r="J97" s="16"/>
      <c r="K97" s="16"/>
      <c r="L97" s="16">
        <f t="shared" ref="L97" si="183">I97*J97</f>
        <v>0</v>
      </c>
      <c r="M97" s="16"/>
      <c r="N97" s="16"/>
      <c r="O97" s="16"/>
      <c r="P97" s="16"/>
      <c r="Q97" s="16"/>
      <c r="R97" s="16"/>
      <c r="S97" s="15"/>
      <c r="T97" s="16"/>
      <c r="U97" s="16"/>
      <c r="V97" s="16"/>
      <c r="W97" s="16"/>
      <c r="X97" s="16"/>
      <c r="Y97" s="16"/>
      <c r="Z97" s="43"/>
    </row>
    <row r="98" spans="1:26" s="31" customFormat="1" ht="27.5" customHeight="1" x14ac:dyDescent="0.35">
      <c r="A98" s="58" t="s">
        <v>96</v>
      </c>
      <c r="B98" s="29" t="s">
        <v>41</v>
      </c>
      <c r="C98" s="30">
        <v>1</v>
      </c>
      <c r="D98" s="30">
        <v>7405</v>
      </c>
      <c r="E98" s="30">
        <f>C98*D98</f>
        <v>7405</v>
      </c>
      <c r="F98" s="30">
        <f t="shared" si="0"/>
        <v>4857361.585</v>
      </c>
      <c r="G98" s="30"/>
      <c r="H98" s="29" t="s">
        <v>41</v>
      </c>
      <c r="I98" s="30">
        <v>1</v>
      </c>
      <c r="J98" s="30">
        <v>3750000</v>
      </c>
      <c r="K98" s="30">
        <f t="shared" ref="K98:K106" si="184">J98/$B$2</f>
        <v>5716.8381464028889</v>
      </c>
      <c r="L98" s="30">
        <f>I98*J98</f>
        <v>3750000</v>
      </c>
      <c r="M98" s="30">
        <f>+L98/655.957</f>
        <v>5716.8381464028889</v>
      </c>
      <c r="N98" s="30">
        <v>3744203</v>
      </c>
      <c r="O98" s="13">
        <f t="shared" ref="O98:O107" si="185">+N98/655.957</f>
        <v>5708.0006768736366</v>
      </c>
      <c r="P98" s="30">
        <v>0</v>
      </c>
      <c r="Q98" s="13">
        <f t="shared" ref="Q98:Q107" si="186">+P98/655.957</f>
        <v>0</v>
      </c>
      <c r="R98" s="13">
        <f t="shared" ref="R98:R107" si="187">N98+P98</f>
        <v>3744203</v>
      </c>
      <c r="S98" s="12">
        <f t="shared" ref="S98:S107" si="188">+R98/655.957</f>
        <v>5708.0006768736366</v>
      </c>
      <c r="T98" s="30">
        <v>0</v>
      </c>
      <c r="U98" s="13">
        <f t="shared" ref="U98:U107" si="189">+T98/655.957</f>
        <v>0</v>
      </c>
      <c r="V98" s="13">
        <f>+R98+T98</f>
        <v>3744203</v>
      </c>
      <c r="W98" s="13">
        <f t="shared" ref="W98:W107" si="190">+V98/655.957</f>
        <v>5708.0006768736366</v>
      </c>
      <c r="X98" s="13">
        <f>+L98-V98</f>
        <v>5797</v>
      </c>
      <c r="Y98" s="13">
        <f t="shared" ref="Y98:Y107" si="191">+X98/655.957</f>
        <v>8.8374695292526795</v>
      </c>
      <c r="Z98" s="46">
        <f>+V98/L98</f>
        <v>0.99845413333333333</v>
      </c>
    </row>
    <row r="99" spans="1:26" s="31" customFormat="1" ht="27.5" customHeight="1" x14ac:dyDescent="0.35">
      <c r="A99" s="58" t="s">
        <v>71</v>
      </c>
      <c r="B99" s="29" t="s">
        <v>41</v>
      </c>
      <c r="C99" s="30">
        <v>6</v>
      </c>
      <c r="D99" s="30">
        <v>3812</v>
      </c>
      <c r="E99" s="30">
        <f>C99*D99</f>
        <v>22872</v>
      </c>
      <c r="F99" s="30">
        <f t="shared" si="0"/>
        <v>15003048.504000001</v>
      </c>
      <c r="G99" s="30"/>
      <c r="H99" s="29" t="s">
        <v>41</v>
      </c>
      <c r="I99" s="30">
        <v>1</v>
      </c>
      <c r="J99" s="30">
        <v>13950000</v>
      </c>
      <c r="K99" s="30">
        <f t="shared" si="184"/>
        <v>21266.637904618747</v>
      </c>
      <c r="L99" s="30">
        <f>I99*J99</f>
        <v>13950000</v>
      </c>
      <c r="M99" s="30">
        <f>+L99/655.957</f>
        <v>21266.637904618747</v>
      </c>
      <c r="N99" s="30"/>
      <c r="O99" s="13">
        <f t="shared" si="185"/>
        <v>0</v>
      </c>
      <c r="P99" s="30">
        <v>13930012</v>
      </c>
      <c r="Q99" s="13">
        <f t="shared" si="186"/>
        <v>21236.166395053333</v>
      </c>
      <c r="R99" s="13">
        <f t="shared" si="187"/>
        <v>13930012</v>
      </c>
      <c r="S99" s="12">
        <f t="shared" si="188"/>
        <v>21236.166395053333</v>
      </c>
      <c r="T99" s="30"/>
      <c r="U99" s="13">
        <f t="shared" si="189"/>
        <v>0</v>
      </c>
      <c r="V99" s="13">
        <f>+R99+T99</f>
        <v>13930012</v>
      </c>
      <c r="W99" s="13">
        <f t="shared" si="190"/>
        <v>21236.166395053333</v>
      </c>
      <c r="X99" s="13">
        <f>+L99-V99</f>
        <v>19988</v>
      </c>
      <c r="Y99" s="13">
        <f t="shared" si="191"/>
        <v>30.471509565413587</v>
      </c>
      <c r="Z99" s="46">
        <f>+V99/L99</f>
        <v>0.99856716845878135</v>
      </c>
    </row>
    <row r="100" spans="1:26" s="31" customFormat="1" ht="39.5" customHeight="1" x14ac:dyDescent="0.35">
      <c r="A100" s="58" t="s">
        <v>72</v>
      </c>
      <c r="B100" s="29" t="s">
        <v>41</v>
      </c>
      <c r="C100" s="30">
        <v>1</v>
      </c>
      <c r="D100" s="30">
        <v>83224</v>
      </c>
      <c r="E100" s="30">
        <f>C100*D100</f>
        <v>83224</v>
      </c>
      <c r="F100" s="30">
        <f t="shared" si="0"/>
        <v>54591365.368000001</v>
      </c>
      <c r="G100" s="30"/>
      <c r="H100" s="29" t="s">
        <v>41</v>
      </c>
      <c r="I100" s="30"/>
      <c r="J100" s="30"/>
      <c r="K100" s="30">
        <f t="shared" si="184"/>
        <v>0</v>
      </c>
      <c r="L100" s="30">
        <f t="shared" ref="L100:S100" si="192">SUM(L101:L103)</f>
        <v>19500000</v>
      </c>
      <c r="M100" s="30">
        <f t="shared" si="192"/>
        <v>29727.558361295025</v>
      </c>
      <c r="N100" s="30">
        <f t="shared" si="192"/>
        <v>0</v>
      </c>
      <c r="O100" s="30">
        <f t="shared" si="192"/>
        <v>0</v>
      </c>
      <c r="P100" s="30">
        <f t="shared" si="192"/>
        <v>13753500</v>
      </c>
      <c r="Q100" s="30">
        <f t="shared" si="192"/>
        <v>20967.075585747236</v>
      </c>
      <c r="R100" s="30">
        <f t="shared" si="192"/>
        <v>13753500</v>
      </c>
      <c r="S100" s="30">
        <f t="shared" si="192"/>
        <v>20967.075585747236</v>
      </c>
      <c r="T100" s="30">
        <f t="shared" ref="T100:W100" si="193">SUM(T101:T103)</f>
        <v>0</v>
      </c>
      <c r="U100" s="30">
        <f t="shared" si="193"/>
        <v>0</v>
      </c>
      <c r="V100" s="30">
        <f t="shared" si="193"/>
        <v>13753500</v>
      </c>
      <c r="W100" s="30">
        <f t="shared" si="193"/>
        <v>20967.075585747236</v>
      </c>
      <c r="X100" s="30">
        <f>SUM(X101:X103)</f>
        <v>5746500</v>
      </c>
      <c r="Y100" s="30">
        <f>SUM(Y101:Y103)</f>
        <v>8760.4827755477872</v>
      </c>
      <c r="Z100" s="46">
        <f>+V100/L100</f>
        <v>0.7053076923076923</v>
      </c>
    </row>
    <row r="101" spans="1:26" s="36" customFormat="1" ht="27.5" hidden="1" customHeight="1" outlineLevel="1" x14ac:dyDescent="0.35">
      <c r="A101" s="71" t="s">
        <v>81</v>
      </c>
      <c r="B101" s="26"/>
      <c r="C101" s="34"/>
      <c r="D101" s="34"/>
      <c r="E101" s="34"/>
      <c r="F101" s="34"/>
      <c r="G101" s="34"/>
      <c r="H101" s="26" t="s">
        <v>41</v>
      </c>
      <c r="I101" s="34"/>
      <c r="J101" s="34"/>
      <c r="K101" s="34">
        <f t="shared" si="184"/>
        <v>0</v>
      </c>
      <c r="L101" s="34">
        <f t="shared" ref="L101:L115" si="194">I101*J101</f>
        <v>0</v>
      </c>
      <c r="M101" s="34">
        <f t="shared" ref="M101:M115" si="195">+L101/655.957</f>
        <v>0</v>
      </c>
      <c r="N101" s="34"/>
      <c r="O101" s="16">
        <f t="shared" si="185"/>
        <v>0</v>
      </c>
      <c r="P101" s="34"/>
      <c r="Q101" s="16">
        <f t="shared" si="186"/>
        <v>0</v>
      </c>
      <c r="R101" s="16">
        <f t="shared" si="187"/>
        <v>0</v>
      </c>
      <c r="S101" s="15">
        <f t="shared" si="188"/>
        <v>0</v>
      </c>
      <c r="T101" s="34"/>
      <c r="U101" s="16">
        <f t="shared" si="189"/>
        <v>0</v>
      </c>
      <c r="V101" s="16">
        <f>+R101+T101</f>
        <v>0</v>
      </c>
      <c r="W101" s="16">
        <f t="shared" si="190"/>
        <v>0</v>
      </c>
      <c r="X101" s="16">
        <f>+L101-V101</f>
        <v>0</v>
      </c>
      <c r="Y101" s="16">
        <f t="shared" si="191"/>
        <v>0</v>
      </c>
      <c r="Z101" s="43" t="e">
        <f t="shared" ref="Z101:Z108" si="196">+V101/L101</f>
        <v>#DIV/0!</v>
      </c>
    </row>
    <row r="102" spans="1:26" s="36" customFormat="1" ht="27.5" hidden="1" customHeight="1" outlineLevel="1" x14ac:dyDescent="0.35">
      <c r="A102" s="71" t="s">
        <v>82</v>
      </c>
      <c r="B102" s="26"/>
      <c r="C102" s="34"/>
      <c r="D102" s="34"/>
      <c r="E102" s="34"/>
      <c r="F102" s="34"/>
      <c r="G102" s="34"/>
      <c r="H102" s="26" t="s">
        <v>41</v>
      </c>
      <c r="I102" s="34">
        <v>1</v>
      </c>
      <c r="J102" s="34">
        <v>12500000</v>
      </c>
      <c r="K102" s="34">
        <f t="shared" si="184"/>
        <v>19056.127154676298</v>
      </c>
      <c r="L102" s="34">
        <f t="shared" si="194"/>
        <v>12500000</v>
      </c>
      <c r="M102" s="34">
        <f t="shared" si="195"/>
        <v>19056.127154676298</v>
      </c>
      <c r="N102" s="34"/>
      <c r="O102" s="16">
        <f t="shared" si="185"/>
        <v>0</v>
      </c>
      <c r="P102" s="34">
        <v>12000000</v>
      </c>
      <c r="Q102" s="16">
        <f t="shared" si="186"/>
        <v>18293.882068489245</v>
      </c>
      <c r="R102" s="16">
        <f t="shared" si="187"/>
        <v>12000000</v>
      </c>
      <c r="S102" s="15">
        <f t="shared" si="188"/>
        <v>18293.882068489245</v>
      </c>
      <c r="T102" s="34"/>
      <c r="U102" s="16">
        <f t="shared" si="189"/>
        <v>0</v>
      </c>
      <c r="V102" s="16">
        <f>+R102+T102</f>
        <v>12000000</v>
      </c>
      <c r="W102" s="16">
        <f t="shared" si="190"/>
        <v>18293.882068489245</v>
      </c>
      <c r="X102" s="16">
        <f>+L102-V102</f>
        <v>500000</v>
      </c>
      <c r="Y102" s="16">
        <f t="shared" si="191"/>
        <v>762.24508618705192</v>
      </c>
      <c r="Z102" s="43">
        <f t="shared" si="196"/>
        <v>0.96</v>
      </c>
    </row>
    <row r="103" spans="1:26" s="36" customFormat="1" ht="27.5" hidden="1" customHeight="1" outlineLevel="1" x14ac:dyDescent="0.35">
      <c r="A103" s="71" t="s">
        <v>83</v>
      </c>
      <c r="B103" s="26"/>
      <c r="C103" s="34"/>
      <c r="D103" s="34"/>
      <c r="E103" s="34"/>
      <c r="F103" s="34"/>
      <c r="G103" s="34"/>
      <c r="H103" s="26" t="s">
        <v>41</v>
      </c>
      <c r="I103" s="34">
        <v>1</v>
      </c>
      <c r="J103" s="34">
        <v>7000000</v>
      </c>
      <c r="K103" s="34">
        <f t="shared" si="184"/>
        <v>10671.431206618727</v>
      </c>
      <c r="L103" s="34">
        <f>I103*J103</f>
        <v>7000000</v>
      </c>
      <c r="M103" s="34">
        <f t="shared" si="195"/>
        <v>10671.431206618727</v>
      </c>
      <c r="N103" s="34"/>
      <c r="O103" s="16">
        <f t="shared" si="185"/>
        <v>0</v>
      </c>
      <c r="P103" s="34">
        <v>1753500</v>
      </c>
      <c r="Q103" s="16">
        <f t="shared" si="186"/>
        <v>2673.1935172579911</v>
      </c>
      <c r="R103" s="16">
        <f t="shared" si="187"/>
        <v>1753500</v>
      </c>
      <c r="S103" s="15">
        <f t="shared" si="188"/>
        <v>2673.1935172579911</v>
      </c>
      <c r="T103" s="34"/>
      <c r="U103" s="16">
        <f t="shared" si="189"/>
        <v>0</v>
      </c>
      <c r="V103" s="16">
        <f>+R103+T103</f>
        <v>1753500</v>
      </c>
      <c r="W103" s="16">
        <f t="shared" si="190"/>
        <v>2673.1935172579911</v>
      </c>
      <c r="X103" s="16">
        <f>+L103-V103</f>
        <v>5246500</v>
      </c>
      <c r="Y103" s="16">
        <f t="shared" si="191"/>
        <v>7998.2376893607352</v>
      </c>
      <c r="Z103" s="43">
        <f t="shared" si="196"/>
        <v>0.2505</v>
      </c>
    </row>
    <row r="104" spans="1:26" s="31" customFormat="1" ht="27.5" customHeight="1" collapsed="1" x14ac:dyDescent="0.35">
      <c r="A104" s="58" t="s">
        <v>107</v>
      </c>
      <c r="B104" s="29"/>
      <c r="C104" s="30"/>
      <c r="D104" s="30"/>
      <c r="E104" s="30"/>
      <c r="F104" s="30"/>
      <c r="G104" s="30"/>
      <c r="H104" s="29" t="s">
        <v>41</v>
      </c>
      <c r="I104" s="30"/>
      <c r="J104" s="30"/>
      <c r="K104" s="30">
        <f t="shared" si="184"/>
        <v>0</v>
      </c>
      <c r="L104" s="30">
        <f t="shared" ref="L104:S104" si="197">SUM(L105:L107)</f>
        <v>0</v>
      </c>
      <c r="M104" s="30">
        <f t="shared" si="197"/>
        <v>0</v>
      </c>
      <c r="N104" s="30">
        <f t="shared" si="197"/>
        <v>0</v>
      </c>
      <c r="O104" s="30">
        <f t="shared" si="197"/>
        <v>0</v>
      </c>
      <c r="P104" s="30">
        <f t="shared" si="197"/>
        <v>0</v>
      </c>
      <c r="Q104" s="30">
        <f t="shared" si="197"/>
        <v>0</v>
      </c>
      <c r="R104" s="30">
        <f t="shared" si="197"/>
        <v>0</v>
      </c>
      <c r="S104" s="30">
        <f t="shared" si="197"/>
        <v>0</v>
      </c>
      <c r="T104" s="30">
        <f t="shared" ref="T104:W104" si="198">SUM(T105:T107)</f>
        <v>0</v>
      </c>
      <c r="U104" s="30">
        <f t="shared" si="198"/>
        <v>0</v>
      </c>
      <c r="V104" s="30">
        <f t="shared" si="198"/>
        <v>0</v>
      </c>
      <c r="W104" s="30">
        <f t="shared" si="198"/>
        <v>0</v>
      </c>
      <c r="X104" s="30">
        <f>SUM(X105:X107)</f>
        <v>0</v>
      </c>
      <c r="Y104" s="30">
        <f>SUM(Y105:Y107)</f>
        <v>0</v>
      </c>
      <c r="Z104" s="46">
        <v>0</v>
      </c>
    </row>
    <row r="105" spans="1:26" s="36" customFormat="1" ht="27.5" hidden="1" customHeight="1" outlineLevel="1" x14ac:dyDescent="0.35">
      <c r="A105" s="71" t="s">
        <v>118</v>
      </c>
      <c r="B105" s="26"/>
      <c r="C105" s="34"/>
      <c r="D105" s="34"/>
      <c r="E105" s="34"/>
      <c r="F105" s="34"/>
      <c r="G105" s="34"/>
      <c r="H105" s="26" t="s">
        <v>41</v>
      </c>
      <c r="I105" s="34">
        <v>0</v>
      </c>
      <c r="J105" s="34">
        <v>8000000</v>
      </c>
      <c r="K105" s="34">
        <f t="shared" si="184"/>
        <v>12195.921378992831</v>
      </c>
      <c r="L105" s="34">
        <f t="shared" ref="L105:L107" si="199">I105*J105</f>
        <v>0</v>
      </c>
      <c r="M105" s="34">
        <f t="shared" si="195"/>
        <v>0</v>
      </c>
      <c r="N105" s="34"/>
      <c r="O105" s="16">
        <f t="shared" si="185"/>
        <v>0</v>
      </c>
      <c r="P105" s="34"/>
      <c r="Q105" s="16">
        <f t="shared" si="186"/>
        <v>0</v>
      </c>
      <c r="R105" s="16">
        <f t="shared" si="187"/>
        <v>0</v>
      </c>
      <c r="S105" s="15">
        <f t="shared" si="188"/>
        <v>0</v>
      </c>
      <c r="T105" s="34"/>
      <c r="U105" s="16">
        <f t="shared" si="189"/>
        <v>0</v>
      </c>
      <c r="V105" s="16">
        <f>+R105+T105</f>
        <v>0</v>
      </c>
      <c r="W105" s="16">
        <f t="shared" si="190"/>
        <v>0</v>
      </c>
      <c r="X105" s="16">
        <f>+L105-V105</f>
        <v>0</v>
      </c>
      <c r="Y105" s="16">
        <f t="shared" si="191"/>
        <v>0</v>
      </c>
      <c r="Z105" s="43" t="e">
        <f t="shared" si="196"/>
        <v>#DIV/0!</v>
      </c>
    </row>
    <row r="106" spans="1:26" s="36" customFormat="1" ht="27.5" hidden="1" customHeight="1" outlineLevel="1" x14ac:dyDescent="0.35">
      <c r="A106" s="71" t="s">
        <v>86</v>
      </c>
      <c r="B106" s="26"/>
      <c r="C106" s="34"/>
      <c r="D106" s="34"/>
      <c r="E106" s="34"/>
      <c r="F106" s="34"/>
      <c r="G106" s="34"/>
      <c r="H106" s="26" t="s">
        <v>41</v>
      </c>
      <c r="I106" s="34">
        <v>0</v>
      </c>
      <c r="J106" s="34">
        <v>2200000</v>
      </c>
      <c r="K106" s="34">
        <f t="shared" si="184"/>
        <v>3353.8783792230283</v>
      </c>
      <c r="L106" s="34">
        <f t="shared" si="199"/>
        <v>0</v>
      </c>
      <c r="M106" s="34">
        <f t="shared" si="195"/>
        <v>0</v>
      </c>
      <c r="N106" s="34"/>
      <c r="O106" s="16">
        <f t="shared" si="185"/>
        <v>0</v>
      </c>
      <c r="P106" s="34"/>
      <c r="Q106" s="16">
        <f t="shared" si="186"/>
        <v>0</v>
      </c>
      <c r="R106" s="16">
        <f t="shared" si="187"/>
        <v>0</v>
      </c>
      <c r="S106" s="15">
        <f t="shared" si="188"/>
        <v>0</v>
      </c>
      <c r="T106" s="34"/>
      <c r="U106" s="16">
        <f t="shared" si="189"/>
        <v>0</v>
      </c>
      <c r="V106" s="16">
        <f>+R106+T106</f>
        <v>0</v>
      </c>
      <c r="W106" s="16">
        <f t="shared" si="190"/>
        <v>0</v>
      </c>
      <c r="X106" s="16">
        <f>+L106-V106</f>
        <v>0</v>
      </c>
      <c r="Y106" s="16">
        <f t="shared" si="191"/>
        <v>0</v>
      </c>
      <c r="Z106" s="43" t="e">
        <f t="shared" si="196"/>
        <v>#DIV/0!</v>
      </c>
    </row>
    <row r="107" spans="1:26" s="36" customFormat="1" ht="27.5" hidden="1" customHeight="1" outlineLevel="1" x14ac:dyDescent="0.35">
      <c r="A107" s="71" t="s">
        <v>123</v>
      </c>
      <c r="B107" s="26"/>
      <c r="C107" s="34"/>
      <c r="D107" s="34"/>
      <c r="E107" s="34"/>
      <c r="F107" s="34"/>
      <c r="G107" s="34"/>
      <c r="H107" s="26" t="s">
        <v>41</v>
      </c>
      <c r="I107" s="34">
        <v>0</v>
      </c>
      <c r="J107" s="34">
        <v>3224028.6549999998</v>
      </c>
      <c r="K107" s="34">
        <v>4915</v>
      </c>
      <c r="L107" s="34">
        <f t="shared" si="199"/>
        <v>0</v>
      </c>
      <c r="M107" s="34">
        <f t="shared" si="195"/>
        <v>0</v>
      </c>
      <c r="N107" s="34"/>
      <c r="O107" s="16">
        <f t="shared" si="185"/>
        <v>0</v>
      </c>
      <c r="P107" s="34"/>
      <c r="Q107" s="16">
        <f t="shared" si="186"/>
        <v>0</v>
      </c>
      <c r="R107" s="16">
        <f t="shared" si="187"/>
        <v>0</v>
      </c>
      <c r="S107" s="15">
        <f t="shared" si="188"/>
        <v>0</v>
      </c>
      <c r="T107" s="34"/>
      <c r="U107" s="16">
        <f t="shared" si="189"/>
        <v>0</v>
      </c>
      <c r="V107" s="16">
        <f>+R107+T107</f>
        <v>0</v>
      </c>
      <c r="W107" s="16">
        <f t="shared" si="190"/>
        <v>0</v>
      </c>
      <c r="X107" s="16">
        <f>+L107-V107</f>
        <v>0</v>
      </c>
      <c r="Y107" s="16">
        <f t="shared" si="191"/>
        <v>0</v>
      </c>
      <c r="Z107" s="43" t="e">
        <f t="shared" si="196"/>
        <v>#DIV/0!</v>
      </c>
    </row>
    <row r="108" spans="1:26" s="31" customFormat="1" ht="27.5" customHeight="1" collapsed="1" x14ac:dyDescent="0.35">
      <c r="A108" s="58" t="s">
        <v>127</v>
      </c>
      <c r="B108" s="29"/>
      <c r="C108" s="30"/>
      <c r="D108" s="30"/>
      <c r="E108" s="30"/>
      <c r="F108" s="30"/>
      <c r="G108" s="30"/>
      <c r="H108" s="29" t="s">
        <v>41</v>
      </c>
      <c r="I108" s="30">
        <v>2</v>
      </c>
      <c r="J108" s="30">
        <v>20000000</v>
      </c>
      <c r="K108" s="30">
        <f>J108/$B$2</f>
        <v>30489.803447482078</v>
      </c>
      <c r="L108" s="30">
        <f>I108*J108</f>
        <v>40000000</v>
      </c>
      <c r="M108" s="30">
        <f>+L108/655.957</f>
        <v>60979.606894964156</v>
      </c>
      <c r="N108" s="30"/>
      <c r="O108" s="13">
        <f t="shared" ref="O108:O112" si="200">+N108/655.957</f>
        <v>0</v>
      </c>
      <c r="P108" s="30"/>
      <c r="Q108" s="13">
        <f t="shared" ref="Q108:Q112" si="201">+P108/655.957</f>
        <v>0</v>
      </c>
      <c r="R108" s="13">
        <f t="shared" ref="R108:R112" si="202">N108+P108</f>
        <v>0</v>
      </c>
      <c r="S108" s="12">
        <f t="shared" ref="S108:S112" si="203">+R108/655.957</f>
        <v>0</v>
      </c>
      <c r="T108" s="30">
        <f>18277746+820000</f>
        <v>19097746</v>
      </c>
      <c r="U108" s="13">
        <f t="shared" ref="U108:U112" si="204">+T108/655.957</f>
        <v>29114.326091496852</v>
      </c>
      <c r="V108" s="13">
        <f>+R108+T108</f>
        <v>19097746</v>
      </c>
      <c r="W108" s="13">
        <f t="shared" ref="W108:W115" si="205">+V108/655.957</f>
        <v>29114.326091496852</v>
      </c>
      <c r="X108" s="13">
        <f>+L108-V108</f>
        <v>20902254</v>
      </c>
      <c r="Y108" s="13">
        <f t="shared" ref="Y108" si="206">+X108/655.957</f>
        <v>31865.2808034673</v>
      </c>
      <c r="Z108" s="46">
        <f t="shared" si="196"/>
        <v>0.47744365</v>
      </c>
    </row>
    <row r="109" spans="1:26" s="31" customFormat="1" ht="47.5" customHeight="1" collapsed="1" x14ac:dyDescent="0.35">
      <c r="A109" s="58" t="s">
        <v>162</v>
      </c>
      <c r="B109" s="29"/>
      <c r="C109" s="30"/>
      <c r="D109" s="30"/>
      <c r="E109" s="30"/>
      <c r="F109" s="30"/>
      <c r="G109" s="30"/>
      <c r="H109" s="29" t="s">
        <v>41</v>
      </c>
      <c r="I109" s="30"/>
      <c r="J109" s="30"/>
      <c r="K109" s="30"/>
      <c r="L109" s="30">
        <f t="shared" ref="L109:S109" si="207">SUM(L110:L112)</f>
        <v>40000000</v>
      </c>
      <c r="M109" s="30">
        <f t="shared" si="207"/>
        <v>60979.606894964149</v>
      </c>
      <c r="N109" s="30">
        <f t="shared" si="207"/>
        <v>0</v>
      </c>
      <c r="O109" s="30">
        <f t="shared" si="207"/>
        <v>0</v>
      </c>
      <c r="P109" s="30">
        <f t="shared" si="207"/>
        <v>0</v>
      </c>
      <c r="Q109" s="30">
        <f t="shared" si="207"/>
        <v>0</v>
      </c>
      <c r="R109" s="30">
        <f t="shared" si="207"/>
        <v>0</v>
      </c>
      <c r="S109" s="30">
        <f t="shared" si="207"/>
        <v>0</v>
      </c>
      <c r="T109" s="30">
        <f t="shared" ref="T109:W109" si="208">SUM(T110:T112)</f>
        <v>17622981</v>
      </c>
      <c r="U109" s="30">
        <f t="shared" si="208"/>
        <v>26866.061342435558</v>
      </c>
      <c r="V109" s="30">
        <f t="shared" si="208"/>
        <v>17622981</v>
      </c>
      <c r="W109" s="30">
        <f t="shared" si="208"/>
        <v>26866.061342435558</v>
      </c>
      <c r="X109" s="30">
        <f>SUM(X110:X112)</f>
        <v>22377019</v>
      </c>
      <c r="Y109" s="30">
        <f>SUM(Y110:Y112)</f>
        <v>34113.545552528594</v>
      </c>
      <c r="Z109" s="43"/>
    </row>
    <row r="110" spans="1:26" s="36" customFormat="1" ht="27.5" hidden="1" customHeight="1" outlineLevel="1" x14ac:dyDescent="0.35">
      <c r="A110" s="71" t="s">
        <v>163</v>
      </c>
      <c r="B110" s="26"/>
      <c r="C110" s="34"/>
      <c r="D110" s="34"/>
      <c r="E110" s="34"/>
      <c r="F110" s="34"/>
      <c r="G110" s="34"/>
      <c r="H110" s="26" t="s">
        <v>41</v>
      </c>
      <c r="I110" s="34">
        <v>1</v>
      </c>
      <c r="J110" s="34">
        <v>8000000</v>
      </c>
      <c r="K110" s="34">
        <f>J110/$B$2</f>
        <v>12195.921378992831</v>
      </c>
      <c r="L110" s="34">
        <f>I110*J110</f>
        <v>8000000</v>
      </c>
      <c r="M110" s="34">
        <f>+L110/655.957</f>
        <v>12195.921378992831</v>
      </c>
      <c r="N110" s="34"/>
      <c r="O110" s="16">
        <f t="shared" si="200"/>
        <v>0</v>
      </c>
      <c r="P110" s="34"/>
      <c r="Q110" s="16">
        <f t="shared" si="201"/>
        <v>0</v>
      </c>
      <c r="R110" s="16">
        <f t="shared" si="202"/>
        <v>0</v>
      </c>
      <c r="S110" s="15">
        <f t="shared" si="203"/>
        <v>0</v>
      </c>
      <c r="T110" s="34">
        <v>8058981</v>
      </c>
      <c r="U110" s="16">
        <f t="shared" si="204"/>
        <v>12285.837333849628</v>
      </c>
      <c r="V110" s="16">
        <f>+R110+T110</f>
        <v>8058981</v>
      </c>
      <c r="W110" s="16">
        <f t="shared" si="205"/>
        <v>12285.837333849628</v>
      </c>
      <c r="X110" s="16">
        <f>+L110-V110</f>
        <v>-58981</v>
      </c>
      <c r="Y110" s="16">
        <f t="shared" ref="Y110" si="209">+X110/655.957</f>
        <v>-89.915954856797015</v>
      </c>
      <c r="Z110" s="43">
        <f t="shared" ref="Z110:Z115" si="210">+V110/L110</f>
        <v>1.0073726249999999</v>
      </c>
    </row>
    <row r="111" spans="1:26" s="36" customFormat="1" ht="27.5" hidden="1" customHeight="1" outlineLevel="1" x14ac:dyDescent="0.35">
      <c r="A111" s="71" t="s">
        <v>164</v>
      </c>
      <c r="B111" s="26"/>
      <c r="C111" s="34"/>
      <c r="D111" s="34"/>
      <c r="E111" s="34"/>
      <c r="F111" s="34"/>
      <c r="G111" s="34"/>
      <c r="H111" s="26" t="s">
        <v>41</v>
      </c>
      <c r="I111" s="34">
        <v>2</v>
      </c>
      <c r="J111" s="34">
        <v>6000000</v>
      </c>
      <c r="K111" s="34">
        <f>J111/$B$2</f>
        <v>9146.9410342446226</v>
      </c>
      <c r="L111" s="34">
        <f t="shared" ref="L111:L112" si="211">I111*J111</f>
        <v>12000000</v>
      </c>
      <c r="M111" s="34">
        <f t="shared" ref="M111:M112" si="212">+L111/655.957</f>
        <v>18293.882068489245</v>
      </c>
      <c r="N111" s="34"/>
      <c r="O111" s="16">
        <f t="shared" si="200"/>
        <v>0</v>
      </c>
      <c r="P111" s="34"/>
      <c r="Q111" s="16">
        <f t="shared" si="201"/>
        <v>0</v>
      </c>
      <c r="R111" s="16">
        <f t="shared" si="202"/>
        <v>0</v>
      </c>
      <c r="S111" s="15">
        <f t="shared" si="203"/>
        <v>0</v>
      </c>
      <c r="T111" s="34">
        <v>4728000</v>
      </c>
      <c r="U111" s="16">
        <f t="shared" si="204"/>
        <v>7207.7895349847631</v>
      </c>
      <c r="V111" s="16">
        <f>+R111+T111</f>
        <v>4728000</v>
      </c>
      <c r="W111" s="16">
        <f t="shared" si="205"/>
        <v>7207.7895349847631</v>
      </c>
      <c r="X111" s="16">
        <f>+L111-V111</f>
        <v>7272000</v>
      </c>
      <c r="Y111" s="16">
        <f t="shared" ref="Y111" si="213">+X111/655.957</f>
        <v>11086.092533504483</v>
      </c>
      <c r="Z111" s="43">
        <f t="shared" si="210"/>
        <v>0.39400000000000002</v>
      </c>
    </row>
    <row r="112" spans="1:26" s="36" customFormat="1" ht="27.5" hidden="1" customHeight="1" outlineLevel="1" x14ac:dyDescent="0.35">
      <c r="A112" s="71" t="s">
        <v>165</v>
      </c>
      <c r="B112" s="26"/>
      <c r="C112" s="34"/>
      <c r="D112" s="34"/>
      <c r="E112" s="34"/>
      <c r="F112" s="34"/>
      <c r="G112" s="34"/>
      <c r="H112" s="26" t="s">
        <v>41</v>
      </c>
      <c r="I112" s="25">
        <v>4</v>
      </c>
      <c r="J112" s="34">
        <v>5000000</v>
      </c>
      <c r="K112" s="34">
        <f>J112/$B$2</f>
        <v>7622.4508618705195</v>
      </c>
      <c r="L112" s="34">
        <f t="shared" si="211"/>
        <v>20000000</v>
      </c>
      <c r="M112" s="34">
        <f t="shared" si="212"/>
        <v>30489.803447482078</v>
      </c>
      <c r="N112" s="34"/>
      <c r="O112" s="16">
        <f t="shared" si="200"/>
        <v>0</v>
      </c>
      <c r="P112" s="34"/>
      <c r="Q112" s="16">
        <f t="shared" si="201"/>
        <v>0</v>
      </c>
      <c r="R112" s="16">
        <f t="shared" si="202"/>
        <v>0</v>
      </c>
      <c r="S112" s="15">
        <f t="shared" si="203"/>
        <v>0</v>
      </c>
      <c r="T112" s="34">
        <v>4836000</v>
      </c>
      <c r="U112" s="16">
        <f t="shared" si="204"/>
        <v>7372.4344736011662</v>
      </c>
      <c r="V112" s="16">
        <f>+R112+T112</f>
        <v>4836000</v>
      </c>
      <c r="W112" s="16">
        <f t="shared" si="205"/>
        <v>7372.4344736011662</v>
      </c>
      <c r="X112" s="16">
        <f>+L112-V112</f>
        <v>15164000</v>
      </c>
      <c r="Y112" s="16">
        <f t="shared" ref="Y112:Y115" si="214">+X112/655.957</f>
        <v>23117.368973880912</v>
      </c>
      <c r="Z112" s="43">
        <f t="shared" si="210"/>
        <v>0.24179999999999999</v>
      </c>
    </row>
    <row r="113" spans="1:26 16369:16369" s="31" customFormat="1" ht="38" customHeight="1" collapsed="1" x14ac:dyDescent="0.35">
      <c r="A113" s="58" t="s">
        <v>166</v>
      </c>
      <c r="B113" s="29"/>
      <c r="C113" s="30"/>
      <c r="D113" s="30"/>
      <c r="E113" s="30"/>
      <c r="F113" s="30"/>
      <c r="G113" s="30"/>
      <c r="H113" s="29"/>
      <c r="I113" s="30"/>
      <c r="J113" s="30"/>
      <c r="K113" s="30"/>
      <c r="L113" s="30">
        <f t="shared" ref="L113:S113" si="215">SUM(L114:L115)</f>
        <v>7500000</v>
      </c>
      <c r="M113" s="30">
        <f t="shared" si="215"/>
        <v>11433.676292805778</v>
      </c>
      <c r="N113" s="30">
        <f t="shared" si="215"/>
        <v>0</v>
      </c>
      <c r="O113" s="30">
        <f t="shared" si="215"/>
        <v>0</v>
      </c>
      <c r="P113" s="30">
        <f t="shared" si="215"/>
        <v>0</v>
      </c>
      <c r="Q113" s="30">
        <f t="shared" si="215"/>
        <v>0</v>
      </c>
      <c r="R113" s="30">
        <f t="shared" si="215"/>
        <v>0</v>
      </c>
      <c r="S113" s="30">
        <f t="shared" si="215"/>
        <v>0</v>
      </c>
      <c r="T113" s="30">
        <f t="shared" ref="T113:W113" si="216">SUM(T114:T115)</f>
        <v>0</v>
      </c>
      <c r="U113" s="30">
        <f t="shared" si="216"/>
        <v>0</v>
      </c>
      <c r="V113" s="30">
        <f t="shared" si="216"/>
        <v>0</v>
      </c>
      <c r="W113" s="30">
        <f t="shared" si="216"/>
        <v>0</v>
      </c>
      <c r="X113" s="30">
        <f>SUM(X114:X115)</f>
        <v>7500000</v>
      </c>
      <c r="Y113" s="30">
        <f>SUM(Y114:Y115)</f>
        <v>11433.676292805778</v>
      </c>
      <c r="Z113" s="43">
        <f t="shared" si="210"/>
        <v>0</v>
      </c>
    </row>
    <row r="114" spans="1:26 16369:16369" s="6" customFormat="1" ht="27.5" hidden="1" customHeight="1" outlineLevel="1" x14ac:dyDescent="0.35">
      <c r="A114" s="72" t="s">
        <v>167</v>
      </c>
      <c r="B114" s="15"/>
      <c r="C114" s="25"/>
      <c r="D114" s="38"/>
      <c r="E114" s="38"/>
      <c r="F114" s="38"/>
      <c r="G114" s="38"/>
      <c r="H114" s="15" t="s">
        <v>41</v>
      </c>
      <c r="I114" s="25">
        <v>1</v>
      </c>
      <c r="J114" s="38">
        <v>500000</v>
      </c>
      <c r="K114" s="34">
        <f>J114/$B$2</f>
        <v>762.24508618705192</v>
      </c>
      <c r="L114" s="38">
        <f t="shared" si="194"/>
        <v>500000</v>
      </c>
      <c r="M114" s="38">
        <f t="shared" si="195"/>
        <v>762.24508618705192</v>
      </c>
      <c r="N114" s="34"/>
      <c r="O114" s="16">
        <f t="shared" ref="O114:O115" si="217">+N114/655.957</f>
        <v>0</v>
      </c>
      <c r="P114" s="34"/>
      <c r="Q114" s="16">
        <f t="shared" ref="Q114:Q115" si="218">+P114/655.957</f>
        <v>0</v>
      </c>
      <c r="R114" s="16">
        <f t="shared" ref="R114:R115" si="219">N114+P114</f>
        <v>0</v>
      </c>
      <c r="S114" s="15">
        <f t="shared" ref="S114:S115" si="220">+R114/655.957</f>
        <v>0</v>
      </c>
      <c r="T114" s="38"/>
      <c r="U114" s="38"/>
      <c r="V114" s="16">
        <f>+R114+T114</f>
        <v>0</v>
      </c>
      <c r="W114" s="16">
        <f t="shared" si="205"/>
        <v>0</v>
      </c>
      <c r="X114" s="16">
        <f>+L114-V114</f>
        <v>500000</v>
      </c>
      <c r="Y114" s="16">
        <f t="shared" si="214"/>
        <v>762.24508618705192</v>
      </c>
      <c r="Z114" s="43">
        <f t="shared" si="210"/>
        <v>0</v>
      </c>
    </row>
    <row r="115" spans="1:26 16369:16369" s="36" customFormat="1" ht="27.5" hidden="1" customHeight="1" outlineLevel="1" x14ac:dyDescent="0.35">
      <c r="A115" s="71" t="s">
        <v>168</v>
      </c>
      <c r="B115" s="26"/>
      <c r="C115" s="34"/>
      <c r="D115" s="34"/>
      <c r="E115" s="34"/>
      <c r="F115" s="34"/>
      <c r="G115" s="34"/>
      <c r="H115" s="26" t="s">
        <v>41</v>
      </c>
      <c r="I115" s="34">
        <v>1</v>
      </c>
      <c r="J115" s="34">
        <v>7000000</v>
      </c>
      <c r="K115" s="34">
        <f>J115/$B$2</f>
        <v>10671.431206618727</v>
      </c>
      <c r="L115" s="34">
        <f t="shared" si="194"/>
        <v>7000000</v>
      </c>
      <c r="M115" s="34">
        <f t="shared" si="195"/>
        <v>10671.431206618727</v>
      </c>
      <c r="N115" s="34"/>
      <c r="O115" s="16">
        <f t="shared" si="217"/>
        <v>0</v>
      </c>
      <c r="P115" s="34"/>
      <c r="Q115" s="16">
        <f t="shared" si="218"/>
        <v>0</v>
      </c>
      <c r="R115" s="16">
        <f t="shared" si="219"/>
        <v>0</v>
      </c>
      <c r="S115" s="15">
        <f t="shared" si="220"/>
        <v>0</v>
      </c>
      <c r="T115" s="34"/>
      <c r="U115" s="34"/>
      <c r="V115" s="16">
        <f>+R115+T115</f>
        <v>0</v>
      </c>
      <c r="W115" s="16">
        <f t="shared" si="205"/>
        <v>0</v>
      </c>
      <c r="X115" s="16">
        <f>+L115-V115</f>
        <v>7000000</v>
      </c>
      <c r="Y115" s="16">
        <f t="shared" si="214"/>
        <v>10671.431206618727</v>
      </c>
      <c r="Z115" s="43">
        <f t="shared" si="210"/>
        <v>0</v>
      </c>
    </row>
    <row r="116" spans="1:26 16369:16369" ht="27.5" customHeight="1" collapsed="1" x14ac:dyDescent="0.35">
      <c r="A116" s="70" t="s">
        <v>46</v>
      </c>
      <c r="B116" s="151"/>
      <c r="C116" s="151"/>
      <c r="D116" s="151"/>
      <c r="E116" s="18">
        <f>SUM(E98:E100)</f>
        <v>113501</v>
      </c>
      <c r="F116" s="18">
        <f>+E116*655.957</f>
        <v>74451775.457000002</v>
      </c>
      <c r="G116" s="19">
        <f>F116/$F$152</f>
        <v>0.10402140958120841</v>
      </c>
      <c r="H116" s="151"/>
      <c r="I116" s="152"/>
      <c r="J116" s="152"/>
      <c r="K116" s="17"/>
      <c r="L116" s="18">
        <f t="shared" ref="L116:S116" si="221">L98+L99+L100+L104+L108+L109+L113</f>
        <v>124700000</v>
      </c>
      <c r="M116" s="18">
        <f t="shared" si="221"/>
        <v>190103.92449505074</v>
      </c>
      <c r="N116" s="18">
        <f t="shared" si="221"/>
        <v>3744203</v>
      </c>
      <c r="O116" s="18">
        <f t="shared" si="221"/>
        <v>5708.0006768736366</v>
      </c>
      <c r="P116" s="18">
        <f t="shared" si="221"/>
        <v>27683512</v>
      </c>
      <c r="Q116" s="18">
        <f t="shared" si="221"/>
        <v>42203.241980800565</v>
      </c>
      <c r="R116" s="18">
        <f t="shared" si="221"/>
        <v>31427715</v>
      </c>
      <c r="S116" s="18">
        <f t="shared" si="221"/>
        <v>47911.2426576742</v>
      </c>
      <c r="T116" s="18">
        <f t="shared" ref="T116:Y116" si="222">T98+T99+T100+T104+T108+T109+T113</f>
        <v>36720727</v>
      </c>
      <c r="U116" s="18">
        <f t="shared" si="222"/>
        <v>55980.38743393241</v>
      </c>
      <c r="V116" s="18">
        <f t="shared" si="222"/>
        <v>68148442</v>
      </c>
      <c r="W116" s="18">
        <f t="shared" si="222"/>
        <v>103891.63009160661</v>
      </c>
      <c r="X116" s="18">
        <f t="shared" si="222"/>
        <v>56551558</v>
      </c>
      <c r="Y116" s="18">
        <f t="shared" si="222"/>
        <v>86212.294403444117</v>
      </c>
      <c r="Z116" s="47"/>
    </row>
    <row r="117" spans="1:26 16369:16369" s="77" customFormat="1" ht="37" customHeight="1" x14ac:dyDescent="0.35">
      <c r="A117" s="58" t="s">
        <v>73</v>
      </c>
      <c r="B117" s="12"/>
      <c r="C117" s="3"/>
      <c r="D117" s="13"/>
      <c r="E117" s="13"/>
      <c r="F117" s="13" t="s">
        <v>0</v>
      </c>
      <c r="G117" s="13"/>
      <c r="H117" s="3"/>
      <c r="I117" s="3"/>
      <c r="J117" s="13"/>
      <c r="K117" s="13"/>
      <c r="L117" s="13"/>
      <c r="M117" s="13"/>
      <c r="N117" s="13"/>
      <c r="O117" s="13"/>
      <c r="P117" s="13"/>
      <c r="Q117" s="13"/>
      <c r="R117" s="13"/>
      <c r="S117" s="3"/>
      <c r="T117" s="13"/>
      <c r="U117" s="13"/>
      <c r="V117" s="13">
        <f>+R117+T117</f>
        <v>0</v>
      </c>
      <c r="W117" s="13"/>
      <c r="X117" s="13"/>
      <c r="Y117" s="13"/>
      <c r="Z117" s="46"/>
    </row>
    <row r="118" spans="1:26 16369:16369" s="31" customFormat="1" ht="37" customHeight="1" x14ac:dyDescent="0.35">
      <c r="A118" s="58" t="s">
        <v>74</v>
      </c>
      <c r="B118" s="29" t="s">
        <v>41</v>
      </c>
      <c r="C118" s="30">
        <v>8</v>
      </c>
      <c r="D118" s="30">
        <v>4573</v>
      </c>
      <c r="E118" s="30">
        <f>C118*D118</f>
        <v>36584</v>
      </c>
      <c r="F118" s="30">
        <f t="shared" si="0"/>
        <v>23997530.888</v>
      </c>
      <c r="G118" s="30"/>
      <c r="H118" s="29" t="s">
        <v>41</v>
      </c>
      <c r="I118" s="30">
        <v>1</v>
      </c>
      <c r="J118" s="30">
        <v>9600000</v>
      </c>
      <c r="K118" s="30">
        <f>J118/$B$2</f>
        <v>14635.105654791396</v>
      </c>
      <c r="L118" s="30">
        <f>I118*J118</f>
        <v>9600000</v>
      </c>
      <c r="M118" s="13">
        <f t="shared" ref="M118:M124" si="223">+L118/655.957</f>
        <v>14635.105654791396</v>
      </c>
      <c r="N118" s="13">
        <v>3104644</v>
      </c>
      <c r="O118" s="13">
        <f t="shared" ref="O118:O142" si="224">+N118/655.957</f>
        <v>4732.9992667202268</v>
      </c>
      <c r="P118" s="13">
        <v>2624630</v>
      </c>
      <c r="Q118" s="13">
        <f t="shared" ref="Q118:Q142" si="225">+P118/655.957</f>
        <v>4001.2226411182442</v>
      </c>
      <c r="R118" s="13">
        <f t="shared" ref="R118:R142" si="226">N118+P118</f>
        <v>5729274</v>
      </c>
      <c r="S118" s="12">
        <f t="shared" ref="S118:S142" si="227">+R118/655.957</f>
        <v>8734.2219078384715</v>
      </c>
      <c r="T118" s="13">
        <v>2581847</v>
      </c>
      <c r="U118" s="13">
        <f t="shared" ref="U118:U142" si="228">+T118/655.957</f>
        <v>3936.0003780735628</v>
      </c>
      <c r="V118" s="13">
        <f>+R118+T118</f>
        <v>8311121</v>
      </c>
      <c r="W118" s="13">
        <f t="shared" ref="W118:W142" si="229">+V118/655.957</f>
        <v>12670.222285912034</v>
      </c>
      <c r="X118" s="13">
        <f>+L118-V118</f>
        <v>1288879</v>
      </c>
      <c r="Y118" s="13">
        <f t="shared" ref="Y118" si="230">+X118/655.957</f>
        <v>1964.8833688793625</v>
      </c>
      <c r="Z118" s="46"/>
    </row>
    <row r="119" spans="1:26 16369:16369" s="31" customFormat="1" ht="37" customHeight="1" x14ac:dyDescent="0.35">
      <c r="A119" s="58" t="s">
        <v>128</v>
      </c>
      <c r="B119" s="29"/>
      <c r="C119" s="30"/>
      <c r="D119" s="30"/>
      <c r="E119" s="30"/>
      <c r="F119" s="30"/>
      <c r="G119" s="30"/>
      <c r="H119" s="29"/>
      <c r="I119" s="30"/>
      <c r="J119" s="30"/>
      <c r="K119" s="30"/>
      <c r="L119" s="30">
        <f t="shared" ref="L119:S119" si="231">SUM(L120:L124)</f>
        <v>15000000</v>
      </c>
      <c r="M119" s="30">
        <f t="shared" si="231"/>
        <v>22867.352585611559</v>
      </c>
      <c r="N119" s="30">
        <f t="shared" si="231"/>
        <v>0</v>
      </c>
      <c r="O119" s="30">
        <f t="shared" si="231"/>
        <v>0</v>
      </c>
      <c r="P119" s="30">
        <f t="shared" si="231"/>
        <v>0</v>
      </c>
      <c r="Q119" s="30">
        <f t="shared" si="231"/>
        <v>0</v>
      </c>
      <c r="R119" s="30">
        <f t="shared" si="231"/>
        <v>0</v>
      </c>
      <c r="S119" s="30">
        <f t="shared" si="231"/>
        <v>0</v>
      </c>
      <c r="T119" s="30">
        <f t="shared" ref="T119:Y119" si="232">SUM(T120:T124)</f>
        <v>2228941.7429999998</v>
      </c>
      <c r="U119" s="30">
        <f t="shared" si="232"/>
        <v>3397.9997819979053</v>
      </c>
      <c r="V119" s="30">
        <f t="shared" si="232"/>
        <v>2228941.7429999998</v>
      </c>
      <c r="W119" s="30">
        <f t="shared" si="232"/>
        <v>3397.9997819979053</v>
      </c>
      <c r="X119" s="30">
        <f t="shared" si="232"/>
        <v>12771058.256999999</v>
      </c>
      <c r="Y119" s="30">
        <f t="shared" si="232"/>
        <v>19469.352803613652</v>
      </c>
      <c r="Z119" s="46">
        <f t="shared" ref="Z119:Z124" si="233">+V119/L119</f>
        <v>0.14859611619999999</v>
      </c>
    </row>
    <row r="120" spans="1:26 16369:16369" s="6" customFormat="1" ht="35.5" hidden="1" customHeight="1" outlineLevel="1" x14ac:dyDescent="0.35">
      <c r="A120" s="72" t="s">
        <v>103</v>
      </c>
      <c r="B120" s="15"/>
      <c r="C120" s="25"/>
      <c r="D120" s="38"/>
      <c r="E120" s="38"/>
      <c r="F120" s="38"/>
      <c r="G120" s="38"/>
      <c r="H120" s="15" t="s">
        <v>41</v>
      </c>
      <c r="I120" s="25">
        <v>1</v>
      </c>
      <c r="J120" s="38">
        <v>500000</v>
      </c>
      <c r="K120" s="34">
        <f>J120/$B$2</f>
        <v>762.24508618705192</v>
      </c>
      <c r="L120" s="38">
        <f t="shared" ref="L120:L124" si="234">I120*J120</f>
        <v>500000</v>
      </c>
      <c r="M120" s="38">
        <f t="shared" si="223"/>
        <v>762.24508618705192</v>
      </c>
      <c r="N120" s="38"/>
      <c r="O120" s="16">
        <f t="shared" si="224"/>
        <v>0</v>
      </c>
      <c r="P120" s="38"/>
      <c r="Q120" s="16">
        <f t="shared" si="225"/>
        <v>0</v>
      </c>
      <c r="R120" s="16">
        <f t="shared" si="226"/>
        <v>0</v>
      </c>
      <c r="S120" s="15">
        <f t="shared" si="227"/>
        <v>0</v>
      </c>
      <c r="T120" s="38">
        <v>428340</v>
      </c>
      <c r="U120" s="16">
        <f t="shared" si="228"/>
        <v>653.00012043472361</v>
      </c>
      <c r="V120" s="16">
        <f t="shared" ref="V120:V125" si="235">+R120+T120</f>
        <v>428340</v>
      </c>
      <c r="W120" s="16">
        <f t="shared" si="229"/>
        <v>653.00012043472361</v>
      </c>
      <c r="X120" s="16">
        <f>+L120-V120</f>
        <v>71660</v>
      </c>
      <c r="Y120" s="16">
        <f t="shared" ref="Y120" si="236">+X120/655.957</f>
        <v>109.24496575232828</v>
      </c>
      <c r="Z120" s="43">
        <f t="shared" si="233"/>
        <v>0.85668</v>
      </c>
    </row>
    <row r="121" spans="1:26 16369:16369" s="6" customFormat="1" ht="35.5" hidden="1" customHeight="1" outlineLevel="1" x14ac:dyDescent="0.35">
      <c r="A121" s="72" t="s">
        <v>104</v>
      </c>
      <c r="B121" s="15"/>
      <c r="C121" s="25"/>
      <c r="D121" s="38"/>
      <c r="E121" s="38"/>
      <c r="F121" s="38"/>
      <c r="G121" s="38"/>
      <c r="H121" s="15" t="s">
        <v>41</v>
      </c>
      <c r="I121" s="25">
        <v>1</v>
      </c>
      <c r="J121" s="38">
        <v>1500000</v>
      </c>
      <c r="K121" s="34">
        <f>J121/$B$2</f>
        <v>2286.7352585611557</v>
      </c>
      <c r="L121" s="38">
        <f t="shared" si="234"/>
        <v>1500000</v>
      </c>
      <c r="M121" s="38">
        <f t="shared" si="223"/>
        <v>2286.7352585611557</v>
      </c>
      <c r="N121" s="38"/>
      <c r="O121" s="16">
        <f t="shared" si="224"/>
        <v>0</v>
      </c>
      <c r="P121" s="38"/>
      <c r="Q121" s="16">
        <f t="shared" si="225"/>
        <v>0</v>
      </c>
      <c r="R121" s="16">
        <f t="shared" si="226"/>
        <v>0</v>
      </c>
      <c r="S121" s="15">
        <f t="shared" si="227"/>
        <v>0</v>
      </c>
      <c r="T121" s="38">
        <v>1199745</v>
      </c>
      <c r="U121" s="16">
        <f t="shared" si="228"/>
        <v>1828.9994618549692</v>
      </c>
      <c r="V121" s="16">
        <f t="shared" si="235"/>
        <v>1199745</v>
      </c>
      <c r="W121" s="16">
        <f t="shared" si="229"/>
        <v>1828.9994618549692</v>
      </c>
      <c r="X121" s="16">
        <f>+L121-V121</f>
        <v>300255</v>
      </c>
      <c r="Y121" s="16">
        <f t="shared" ref="Y121" si="237">+X121/655.957</f>
        <v>457.73579670618653</v>
      </c>
      <c r="Z121" s="43">
        <f t="shared" si="233"/>
        <v>0.79983000000000004</v>
      </c>
    </row>
    <row r="122" spans="1:26 16369:16369" s="6" customFormat="1" ht="35.5" hidden="1" customHeight="1" outlineLevel="1" x14ac:dyDescent="0.35">
      <c r="A122" s="72" t="s">
        <v>105</v>
      </c>
      <c r="B122" s="15"/>
      <c r="C122" s="25"/>
      <c r="D122" s="38"/>
      <c r="E122" s="38"/>
      <c r="F122" s="38"/>
      <c r="G122" s="38"/>
      <c r="H122" s="15" t="s">
        <v>41</v>
      </c>
      <c r="I122" s="25">
        <v>1</v>
      </c>
      <c r="J122" s="38">
        <v>600000</v>
      </c>
      <c r="K122" s="34">
        <f>J122/$B$2</f>
        <v>914.69410342446224</v>
      </c>
      <c r="L122" s="38">
        <f t="shared" si="234"/>
        <v>600000</v>
      </c>
      <c r="M122" s="38">
        <f t="shared" si="223"/>
        <v>914.69410342446224</v>
      </c>
      <c r="N122" s="38"/>
      <c r="O122" s="16">
        <f t="shared" si="224"/>
        <v>0</v>
      </c>
      <c r="P122" s="38"/>
      <c r="Q122" s="16">
        <f t="shared" si="225"/>
        <v>0</v>
      </c>
      <c r="R122" s="16">
        <f t="shared" si="226"/>
        <v>0</v>
      </c>
      <c r="S122" s="15">
        <f t="shared" si="227"/>
        <v>0</v>
      </c>
      <c r="T122" s="38">
        <v>535917</v>
      </c>
      <c r="U122" s="16">
        <f t="shared" si="228"/>
        <v>817.00019970821256</v>
      </c>
      <c r="V122" s="16">
        <f t="shared" si="235"/>
        <v>535917</v>
      </c>
      <c r="W122" s="16">
        <f t="shared" si="229"/>
        <v>817.00019970821256</v>
      </c>
      <c r="X122" s="16">
        <f>+L122-V122</f>
        <v>64083</v>
      </c>
      <c r="Y122" s="16">
        <f t="shared" ref="Y122" si="238">+X122/655.957</f>
        <v>97.693903716249693</v>
      </c>
      <c r="Z122" s="43">
        <f t="shared" si="233"/>
        <v>0.89319499999999996</v>
      </c>
    </row>
    <row r="123" spans="1:26 16369:16369" s="6" customFormat="1" ht="35.5" hidden="1" customHeight="1" outlineLevel="1" x14ac:dyDescent="0.35">
      <c r="A123" s="72" t="s">
        <v>108</v>
      </c>
      <c r="B123" s="15"/>
      <c r="C123" s="25"/>
      <c r="D123" s="38"/>
      <c r="E123" s="38"/>
      <c r="F123" s="38"/>
      <c r="G123" s="38"/>
      <c r="H123" s="15" t="s">
        <v>62</v>
      </c>
      <c r="I123" s="25">
        <v>8</v>
      </c>
      <c r="J123" s="38">
        <v>300000</v>
      </c>
      <c r="K123" s="34">
        <f>J123/$B$2</f>
        <v>457.34705171223112</v>
      </c>
      <c r="L123" s="38">
        <f t="shared" si="234"/>
        <v>2400000</v>
      </c>
      <c r="M123" s="38">
        <f t="shared" si="223"/>
        <v>3658.776413697849</v>
      </c>
      <c r="N123" s="38"/>
      <c r="O123" s="16">
        <f t="shared" si="224"/>
        <v>0</v>
      </c>
      <c r="P123" s="38"/>
      <c r="Q123" s="16">
        <f t="shared" si="225"/>
        <v>0</v>
      </c>
      <c r="R123" s="16">
        <f t="shared" si="226"/>
        <v>0</v>
      </c>
      <c r="S123" s="15">
        <f t="shared" si="227"/>
        <v>0</v>
      </c>
      <c r="T123" s="38">
        <v>64939.743000000002</v>
      </c>
      <c r="U123" s="16">
        <f t="shared" si="228"/>
        <v>99</v>
      </c>
      <c r="V123" s="16">
        <f t="shared" si="235"/>
        <v>64939.743000000002</v>
      </c>
      <c r="W123" s="16">
        <f t="shared" si="229"/>
        <v>99</v>
      </c>
      <c r="X123" s="16">
        <f>+L123-V123</f>
        <v>2335060.2570000002</v>
      </c>
      <c r="Y123" s="16">
        <f t="shared" ref="Y123" si="239">+X123/655.957</f>
        <v>3559.7764136978494</v>
      </c>
      <c r="Z123" s="43">
        <f t="shared" si="233"/>
        <v>2.7058226250000001E-2</v>
      </c>
    </row>
    <row r="124" spans="1:26 16369:16369" s="6" customFormat="1" ht="35.5" hidden="1" customHeight="1" outlineLevel="1" x14ac:dyDescent="0.35">
      <c r="A124" s="72" t="s">
        <v>119</v>
      </c>
      <c r="B124" s="15"/>
      <c r="C124" s="25"/>
      <c r="D124" s="38"/>
      <c r="E124" s="38"/>
      <c r="F124" s="38"/>
      <c r="G124" s="38"/>
      <c r="H124" s="15" t="s">
        <v>41</v>
      </c>
      <c r="I124" s="25">
        <v>1</v>
      </c>
      <c r="J124" s="38">
        <v>10000000</v>
      </c>
      <c r="K124" s="34">
        <f>J124/$B$2</f>
        <v>15244.901723741039</v>
      </c>
      <c r="L124" s="38">
        <f t="shared" si="234"/>
        <v>10000000</v>
      </c>
      <c r="M124" s="38">
        <f t="shared" si="223"/>
        <v>15244.901723741039</v>
      </c>
      <c r="N124" s="38"/>
      <c r="O124" s="16">
        <f t="shared" si="224"/>
        <v>0</v>
      </c>
      <c r="P124" s="38"/>
      <c r="Q124" s="16">
        <f t="shared" si="225"/>
        <v>0</v>
      </c>
      <c r="R124" s="16">
        <f t="shared" si="226"/>
        <v>0</v>
      </c>
      <c r="S124" s="15">
        <f t="shared" si="227"/>
        <v>0</v>
      </c>
      <c r="T124" s="38"/>
      <c r="U124" s="16">
        <f t="shared" si="228"/>
        <v>0</v>
      </c>
      <c r="V124" s="16">
        <f t="shared" si="235"/>
        <v>0</v>
      </c>
      <c r="W124" s="16">
        <f t="shared" si="229"/>
        <v>0</v>
      </c>
      <c r="X124" s="16">
        <f>+L124-V124</f>
        <v>10000000</v>
      </c>
      <c r="Y124" s="16">
        <f t="shared" ref="Y124" si="240">+X124/655.957</f>
        <v>15244.901723741039</v>
      </c>
      <c r="Z124" s="43">
        <f t="shared" si="233"/>
        <v>0</v>
      </c>
    </row>
    <row r="125" spans="1:26 16369:16369" s="31" customFormat="1" ht="38.5" customHeight="1" collapsed="1" x14ac:dyDescent="0.35">
      <c r="A125" s="58" t="s">
        <v>88</v>
      </c>
      <c r="B125" s="29" t="s">
        <v>41</v>
      </c>
      <c r="C125" s="30">
        <v>1</v>
      </c>
      <c r="D125" s="30">
        <v>15245</v>
      </c>
      <c r="E125" s="30">
        <f>C125*D125</f>
        <v>15245</v>
      </c>
      <c r="F125" s="30">
        <f t="shared" ref="F125:F151" si="241">+E125*655.957</f>
        <v>10000064.465</v>
      </c>
      <c r="G125" s="30"/>
      <c r="H125" s="29" t="s">
        <v>41</v>
      </c>
      <c r="I125" s="30">
        <v>0</v>
      </c>
      <c r="J125" s="30">
        <v>0</v>
      </c>
      <c r="K125" s="30"/>
      <c r="L125" s="30">
        <f t="shared" ref="L125:L132" si="242">I125*J125</f>
        <v>0</v>
      </c>
      <c r="M125" s="30">
        <f t="shared" ref="M125:M132" si="243">+L125/655.957</f>
        <v>0</v>
      </c>
      <c r="N125" s="30"/>
      <c r="O125" s="13">
        <f t="shared" si="224"/>
        <v>0</v>
      </c>
      <c r="P125" s="30"/>
      <c r="Q125" s="13">
        <f t="shared" si="225"/>
        <v>0</v>
      </c>
      <c r="R125" s="13">
        <f t="shared" si="226"/>
        <v>0</v>
      </c>
      <c r="S125" s="12">
        <f t="shared" si="227"/>
        <v>0</v>
      </c>
      <c r="T125" s="30"/>
      <c r="U125" s="13"/>
      <c r="V125" s="13">
        <f t="shared" si="235"/>
        <v>0</v>
      </c>
      <c r="W125" s="13"/>
      <c r="X125" s="13"/>
      <c r="Y125" s="13"/>
      <c r="Z125" s="46"/>
    </row>
    <row r="126" spans="1:26 16369:16369" s="31" customFormat="1" ht="38.5" customHeight="1" x14ac:dyDescent="0.35">
      <c r="A126" s="58" t="s">
        <v>129</v>
      </c>
      <c r="B126" s="29" t="s">
        <v>41</v>
      </c>
      <c r="C126" s="30">
        <v>3</v>
      </c>
      <c r="D126" s="30">
        <v>59455</v>
      </c>
      <c r="E126" s="30">
        <f>C126*D126</f>
        <v>178365</v>
      </c>
      <c r="F126" s="30">
        <f t="shared" si="241"/>
        <v>116999770.30499999</v>
      </c>
      <c r="G126" s="30"/>
      <c r="H126" s="29" t="s">
        <v>41</v>
      </c>
      <c r="I126" s="30">
        <v>0</v>
      </c>
      <c r="J126" s="30"/>
      <c r="K126" s="30"/>
      <c r="L126" s="30">
        <f t="shared" ref="L126:S126" si="244">SUM(L127:L132)</f>
        <v>308000000</v>
      </c>
      <c r="M126" s="30">
        <f t="shared" si="244"/>
        <v>469542.97309122403</v>
      </c>
      <c r="N126" s="30">
        <f t="shared" si="244"/>
        <v>31770987</v>
      </c>
      <c r="O126" s="30">
        <f t="shared" si="244"/>
        <v>48434.557448125408</v>
      </c>
      <c r="P126" s="30">
        <f t="shared" si="244"/>
        <v>68432332</v>
      </c>
      <c r="Q126" s="30">
        <f t="shared" si="244"/>
        <v>104324.4176066419</v>
      </c>
      <c r="R126" s="30">
        <f t="shared" si="244"/>
        <v>100203319</v>
      </c>
      <c r="S126" s="30">
        <f t="shared" si="244"/>
        <v>152758.9750547673</v>
      </c>
      <c r="T126" s="30">
        <f t="shared" ref="T126:W126" si="245">SUM(T127:T132)</f>
        <v>83590470</v>
      </c>
      <c r="U126" s="30">
        <f t="shared" si="245"/>
        <v>127432.85001913235</v>
      </c>
      <c r="V126" s="30">
        <f t="shared" si="245"/>
        <v>183793789</v>
      </c>
      <c r="W126" s="30">
        <f t="shared" si="245"/>
        <v>280191.82507389964</v>
      </c>
      <c r="X126" s="30">
        <f>SUM(X127:X132)</f>
        <v>124206211</v>
      </c>
      <c r="Y126" s="30">
        <f>SUM(Y127:Y132)</f>
        <v>189351.1480173243</v>
      </c>
      <c r="Z126" s="46"/>
    </row>
    <row r="127" spans="1:26 16369:16369" s="36" customFormat="1" ht="27.5" hidden="1" customHeight="1" outlineLevel="1" x14ac:dyDescent="0.35">
      <c r="A127" s="71" t="s">
        <v>135</v>
      </c>
      <c r="B127" s="26"/>
      <c r="C127" s="34"/>
      <c r="D127" s="34"/>
      <c r="E127" s="34"/>
      <c r="F127" s="34"/>
      <c r="G127" s="34"/>
      <c r="H127" s="26" t="s">
        <v>41</v>
      </c>
      <c r="I127" s="34">
        <v>3</v>
      </c>
      <c r="J127" s="34">
        <v>4000000</v>
      </c>
      <c r="K127" s="34">
        <f t="shared" ref="K127:K132" si="246">J127/$B$2</f>
        <v>6097.9606894964154</v>
      </c>
      <c r="L127" s="34">
        <f t="shared" si="242"/>
        <v>12000000</v>
      </c>
      <c r="M127" s="34">
        <f t="shared" si="243"/>
        <v>18293.882068489245</v>
      </c>
      <c r="N127" s="34"/>
      <c r="O127" s="16">
        <f t="shared" si="224"/>
        <v>0</v>
      </c>
      <c r="P127" s="34"/>
      <c r="Q127" s="16">
        <f t="shared" si="225"/>
        <v>0</v>
      </c>
      <c r="R127" s="16">
        <f t="shared" si="226"/>
        <v>0</v>
      </c>
      <c r="S127" s="15">
        <f t="shared" si="227"/>
        <v>0</v>
      </c>
      <c r="T127" s="34">
        <v>5960190</v>
      </c>
      <c r="U127" s="16">
        <f t="shared" si="228"/>
        <v>9086.2510804824105</v>
      </c>
      <c r="V127" s="16">
        <f t="shared" ref="V127:V132" si="247">+R127+T127</f>
        <v>5960190</v>
      </c>
      <c r="W127" s="16">
        <f t="shared" si="229"/>
        <v>9086.2510804824105</v>
      </c>
      <c r="X127" s="16">
        <f t="shared" ref="X127:X132" si="248">+L127-V127</f>
        <v>6039810</v>
      </c>
      <c r="Y127" s="16">
        <f t="shared" ref="Y127" si="249">+X127/655.957</f>
        <v>9207.6309880068366</v>
      </c>
      <c r="Z127" s="43">
        <f t="shared" ref="Z127:Z132" si="250">+V127/L127</f>
        <v>0.49668250000000003</v>
      </c>
      <c r="XEO127" s="36">
        <f>SUM(I127:XEN127)</f>
        <v>34011965.472589463</v>
      </c>
    </row>
    <row r="128" spans="1:26 16369:16369" s="36" customFormat="1" ht="27.5" hidden="1" customHeight="1" outlineLevel="1" x14ac:dyDescent="0.35">
      <c r="A128" s="71" t="s">
        <v>130</v>
      </c>
      <c r="B128" s="26"/>
      <c r="C128" s="34"/>
      <c r="D128" s="34"/>
      <c r="E128" s="34"/>
      <c r="F128" s="34"/>
      <c r="G128" s="34"/>
      <c r="H128" s="26" t="s">
        <v>41</v>
      </c>
      <c r="I128" s="34">
        <v>5</v>
      </c>
      <c r="J128" s="34">
        <v>45000000</v>
      </c>
      <c r="K128" s="34">
        <f t="shared" si="246"/>
        <v>68602.057756834678</v>
      </c>
      <c r="L128" s="34">
        <f t="shared" si="242"/>
        <v>225000000</v>
      </c>
      <c r="M128" s="34">
        <f t="shared" si="243"/>
        <v>343010.28878417338</v>
      </c>
      <c r="N128" s="34">
        <v>31770987</v>
      </c>
      <c r="O128" s="16">
        <f t="shared" si="224"/>
        <v>48434.557448125408</v>
      </c>
      <c r="P128" s="34">
        <v>51932332</v>
      </c>
      <c r="Q128" s="16">
        <f t="shared" si="225"/>
        <v>79170.329762469191</v>
      </c>
      <c r="R128" s="16">
        <f t="shared" si="226"/>
        <v>83703319</v>
      </c>
      <c r="S128" s="15">
        <f t="shared" si="227"/>
        <v>127604.88721059459</v>
      </c>
      <c r="T128" s="34">
        <v>46383713</v>
      </c>
      <c r="U128" s="16">
        <f t="shared" si="228"/>
        <v>70711.514626720964</v>
      </c>
      <c r="V128" s="16">
        <f t="shared" si="247"/>
        <v>130087032</v>
      </c>
      <c r="W128" s="16">
        <f t="shared" si="229"/>
        <v>198316.40183731556</v>
      </c>
      <c r="X128" s="16">
        <f t="shared" si="248"/>
        <v>94912968</v>
      </c>
      <c r="Y128" s="16">
        <f t="shared" ref="Y128" si="251">+X128/655.957</f>
        <v>144693.88694685779</v>
      </c>
      <c r="Z128" s="43">
        <f t="shared" si="250"/>
        <v>0.5781645866666667</v>
      </c>
      <c r="XEO128" s="36">
        <f>SUM(I128:XEN128)</f>
        <v>709870900.50253773</v>
      </c>
    </row>
    <row r="129" spans="1:26 16369:16369" s="6" customFormat="1" ht="27.5" hidden="1" customHeight="1" outlineLevel="1" collapsed="1" x14ac:dyDescent="0.35">
      <c r="A129" s="71" t="s">
        <v>131</v>
      </c>
      <c r="B129" s="15"/>
      <c r="C129" s="25"/>
      <c r="D129" s="38"/>
      <c r="E129" s="38"/>
      <c r="F129" s="38"/>
      <c r="G129" s="38"/>
      <c r="H129" s="15" t="s">
        <v>0</v>
      </c>
      <c r="I129" s="25">
        <v>1</v>
      </c>
      <c r="J129" s="38">
        <v>5000000</v>
      </c>
      <c r="K129" s="34">
        <f t="shared" si="246"/>
        <v>7622.4508618705195</v>
      </c>
      <c r="L129" s="38">
        <f>I129*J129</f>
        <v>5000000</v>
      </c>
      <c r="M129" s="38">
        <f>L129/$B$2</f>
        <v>7622.4508618705195</v>
      </c>
      <c r="N129" s="38"/>
      <c r="O129" s="16">
        <f t="shared" si="224"/>
        <v>0</v>
      </c>
      <c r="P129" s="38"/>
      <c r="Q129" s="16">
        <f t="shared" si="225"/>
        <v>0</v>
      </c>
      <c r="R129" s="16">
        <f t="shared" si="226"/>
        <v>0</v>
      </c>
      <c r="S129" s="15">
        <f t="shared" si="227"/>
        <v>0</v>
      </c>
      <c r="T129" s="38"/>
      <c r="U129" s="16">
        <f t="shared" si="228"/>
        <v>0</v>
      </c>
      <c r="V129" s="16">
        <f t="shared" si="247"/>
        <v>0</v>
      </c>
      <c r="W129" s="16">
        <f t="shared" si="229"/>
        <v>0</v>
      </c>
      <c r="X129" s="16">
        <f t="shared" si="248"/>
        <v>5000000</v>
      </c>
      <c r="Y129" s="16">
        <f t="shared" ref="Y129" si="252">+X129/655.957</f>
        <v>7622.4508618705195</v>
      </c>
      <c r="Z129" s="43">
        <f t="shared" si="250"/>
        <v>0</v>
      </c>
    </row>
    <row r="130" spans="1:26 16369:16369" s="36" customFormat="1" ht="27.5" hidden="1" customHeight="1" outlineLevel="1" x14ac:dyDescent="0.35">
      <c r="A130" s="71" t="s">
        <v>132</v>
      </c>
      <c r="B130" s="26"/>
      <c r="C130" s="34"/>
      <c r="D130" s="34"/>
      <c r="E130" s="34"/>
      <c r="F130" s="34"/>
      <c r="G130" s="34"/>
      <c r="H130" s="26" t="s">
        <v>41</v>
      </c>
      <c r="I130" s="34">
        <v>8</v>
      </c>
      <c r="J130" s="34">
        <v>3000000</v>
      </c>
      <c r="K130" s="34">
        <f t="shared" si="246"/>
        <v>4573.4705171223113</v>
      </c>
      <c r="L130" s="34">
        <f t="shared" si="242"/>
        <v>24000000</v>
      </c>
      <c r="M130" s="34">
        <f t="shared" si="243"/>
        <v>36587.764136978491</v>
      </c>
      <c r="N130" s="34"/>
      <c r="O130" s="16">
        <f t="shared" si="224"/>
        <v>0</v>
      </c>
      <c r="P130" s="34">
        <v>6000000</v>
      </c>
      <c r="Q130" s="16">
        <f t="shared" si="225"/>
        <v>9146.9410342446226</v>
      </c>
      <c r="R130" s="16">
        <f t="shared" si="226"/>
        <v>6000000</v>
      </c>
      <c r="S130" s="15">
        <f t="shared" si="227"/>
        <v>9146.9410342446226</v>
      </c>
      <c r="T130" s="34">
        <v>5601617</v>
      </c>
      <c r="U130" s="16">
        <f t="shared" si="228"/>
        <v>8539.6100659037111</v>
      </c>
      <c r="V130" s="16">
        <f t="shared" si="247"/>
        <v>11601617</v>
      </c>
      <c r="W130" s="16">
        <f t="shared" si="229"/>
        <v>17686.551100148332</v>
      </c>
      <c r="X130" s="16">
        <f t="shared" si="248"/>
        <v>12398383</v>
      </c>
      <c r="Y130" s="16">
        <f t="shared" ref="Y130" si="253">+X130/655.957</f>
        <v>18901.213036830159</v>
      </c>
      <c r="Z130" s="43">
        <f t="shared" si="250"/>
        <v>0.48340070833333332</v>
      </c>
      <c r="XEO130" s="36">
        <f>SUM(I130:XEN130)</f>
        <v>68706207.974326178</v>
      </c>
    </row>
    <row r="131" spans="1:26 16369:16369" s="36" customFormat="1" ht="27.5" hidden="1" customHeight="1" outlineLevel="1" x14ac:dyDescent="0.35">
      <c r="A131" s="71" t="s">
        <v>133</v>
      </c>
      <c r="B131" s="26"/>
      <c r="C131" s="34"/>
      <c r="D131" s="34"/>
      <c r="E131" s="34"/>
      <c r="F131" s="34"/>
      <c r="G131" s="34"/>
      <c r="H131" s="26" t="s">
        <v>41</v>
      </c>
      <c r="I131" s="34">
        <v>4</v>
      </c>
      <c r="J131" s="34">
        <v>3500000</v>
      </c>
      <c r="K131" s="34">
        <f t="shared" si="246"/>
        <v>5335.7156033093634</v>
      </c>
      <c r="L131" s="34">
        <f t="shared" si="242"/>
        <v>14000000</v>
      </c>
      <c r="M131" s="34">
        <f t="shared" si="243"/>
        <v>21342.862413237453</v>
      </c>
      <c r="N131" s="34"/>
      <c r="O131" s="16">
        <f t="shared" si="224"/>
        <v>0</v>
      </c>
      <c r="P131" s="34">
        <v>3500000</v>
      </c>
      <c r="Q131" s="16">
        <f t="shared" si="225"/>
        <v>5335.7156033093634</v>
      </c>
      <c r="R131" s="16">
        <f t="shared" si="226"/>
        <v>3500000</v>
      </c>
      <c r="S131" s="15">
        <f t="shared" si="227"/>
        <v>5335.7156033093634</v>
      </c>
      <c r="T131" s="34">
        <v>11647350</v>
      </c>
      <c r="U131" s="16">
        <f t="shared" si="228"/>
        <v>17756.270609201518</v>
      </c>
      <c r="V131" s="16">
        <f t="shared" si="247"/>
        <v>15147350</v>
      </c>
      <c r="W131" s="16">
        <f t="shared" si="229"/>
        <v>23091.986212510881</v>
      </c>
      <c r="X131" s="16">
        <f t="shared" si="248"/>
        <v>-1147350</v>
      </c>
      <c r="Y131" s="16">
        <f t="shared" ref="Y131" si="254">+X131/655.957</f>
        <v>-1749.1237992734279</v>
      </c>
      <c r="Z131" s="43">
        <f t="shared" si="250"/>
        <v>1.0819535714285715</v>
      </c>
      <c r="XEO131" s="36">
        <f>SUM(I131:XEN131)</f>
        <v>50223804.224199183</v>
      </c>
    </row>
    <row r="132" spans="1:26 16369:16369" s="36" customFormat="1" ht="27.5" hidden="1" customHeight="1" outlineLevel="1" x14ac:dyDescent="0.35">
      <c r="A132" s="71" t="s">
        <v>134</v>
      </c>
      <c r="B132" s="26"/>
      <c r="C132" s="34"/>
      <c r="D132" s="34"/>
      <c r="E132" s="34"/>
      <c r="F132" s="34"/>
      <c r="G132" s="34"/>
      <c r="H132" s="26" t="s">
        <v>41</v>
      </c>
      <c r="I132" s="34">
        <v>4</v>
      </c>
      <c r="J132" s="34">
        <v>7000000</v>
      </c>
      <c r="K132" s="34">
        <f t="shared" si="246"/>
        <v>10671.431206618727</v>
      </c>
      <c r="L132" s="34">
        <f t="shared" si="242"/>
        <v>28000000</v>
      </c>
      <c r="M132" s="34">
        <f t="shared" si="243"/>
        <v>42685.724826474907</v>
      </c>
      <c r="N132" s="34"/>
      <c r="O132" s="16">
        <f t="shared" si="224"/>
        <v>0</v>
      </c>
      <c r="P132" s="34">
        <v>7000000</v>
      </c>
      <c r="Q132" s="16">
        <f t="shared" si="225"/>
        <v>10671.431206618727</v>
      </c>
      <c r="R132" s="16">
        <f t="shared" si="226"/>
        <v>7000000</v>
      </c>
      <c r="S132" s="15">
        <f t="shared" si="227"/>
        <v>10671.431206618727</v>
      </c>
      <c r="T132" s="34">
        <v>13997600</v>
      </c>
      <c r="U132" s="16">
        <f t="shared" si="228"/>
        <v>21339.203636823757</v>
      </c>
      <c r="V132" s="16">
        <f t="shared" si="247"/>
        <v>20997600</v>
      </c>
      <c r="W132" s="16">
        <f t="shared" si="229"/>
        <v>32010.634843442484</v>
      </c>
      <c r="X132" s="16">
        <f t="shared" si="248"/>
        <v>7002400</v>
      </c>
      <c r="Y132" s="16">
        <f t="shared" ref="Y132" si="255">+X132/655.957</f>
        <v>10675.089983032425</v>
      </c>
      <c r="Z132" s="43">
        <f t="shared" si="250"/>
        <v>0.74991428571428576</v>
      </c>
      <c r="XEO132" s="36">
        <f>SUM(I132:XEN132)</f>
        <v>91136329.696823925</v>
      </c>
    </row>
    <row r="133" spans="1:26 16369:16369" s="31" customFormat="1" ht="27.5" customHeight="1" collapsed="1" x14ac:dyDescent="0.35">
      <c r="A133" s="58" t="s">
        <v>136</v>
      </c>
      <c r="B133" s="29"/>
      <c r="C133" s="30"/>
      <c r="D133" s="30"/>
      <c r="E133" s="30"/>
      <c r="F133" s="30"/>
      <c r="G133" s="30"/>
      <c r="H133" s="29" t="s">
        <v>41</v>
      </c>
      <c r="I133" s="30"/>
      <c r="J133" s="30"/>
      <c r="K133" s="30"/>
      <c r="L133" s="30">
        <f>SUM(L134:L139)</f>
        <v>69915000</v>
      </c>
      <c r="M133" s="30">
        <f>SUM(M134:M139)</f>
        <v>106584.73040153547</v>
      </c>
      <c r="N133" s="30">
        <f t="shared" ref="N133:Y133" si="256">SUM(N134:N139)</f>
        <v>0</v>
      </c>
      <c r="O133" s="30">
        <f t="shared" si="256"/>
        <v>0</v>
      </c>
      <c r="P133" s="30">
        <f t="shared" si="256"/>
        <v>0</v>
      </c>
      <c r="Q133" s="30">
        <f t="shared" si="256"/>
        <v>0</v>
      </c>
      <c r="R133" s="30">
        <f t="shared" si="256"/>
        <v>0</v>
      </c>
      <c r="S133" s="30">
        <f t="shared" si="256"/>
        <v>0</v>
      </c>
      <c r="T133" s="30">
        <f t="shared" si="256"/>
        <v>29391465.299000002</v>
      </c>
      <c r="U133" s="30">
        <f t="shared" si="256"/>
        <v>44807</v>
      </c>
      <c r="V133" s="30">
        <f t="shared" si="256"/>
        <v>29391465.299000002</v>
      </c>
      <c r="W133" s="30">
        <f t="shared" si="256"/>
        <v>44807</v>
      </c>
      <c r="X133" s="30">
        <f t="shared" si="256"/>
        <v>40523534.700999998</v>
      </c>
      <c r="Y133" s="30">
        <f t="shared" si="256"/>
        <v>61777.730401535468</v>
      </c>
      <c r="Z133" s="46"/>
    </row>
    <row r="134" spans="1:26 16369:16369" s="36" customFormat="1" ht="27.5" hidden="1" customHeight="1" outlineLevel="1" x14ac:dyDescent="0.35">
      <c r="A134" s="71" t="s">
        <v>137</v>
      </c>
      <c r="B134" s="26"/>
      <c r="C134" s="34"/>
      <c r="D134" s="34"/>
      <c r="E134" s="34"/>
      <c r="F134" s="34"/>
      <c r="G134" s="34"/>
      <c r="H134" s="26" t="s">
        <v>41</v>
      </c>
      <c r="I134" s="34">
        <v>1</v>
      </c>
      <c r="J134" s="34">
        <v>500000</v>
      </c>
      <c r="K134" s="34">
        <f t="shared" ref="K134:K142" si="257">J134/$B$2</f>
        <v>762.24508618705192</v>
      </c>
      <c r="L134" s="34">
        <f t="shared" ref="L134:L138" si="258">I134*J134</f>
        <v>500000</v>
      </c>
      <c r="M134" s="34">
        <f t="shared" ref="M134:M139" si="259">+L134/655.957</f>
        <v>762.24508618705192</v>
      </c>
      <c r="N134" s="34"/>
      <c r="O134" s="16">
        <f t="shared" si="224"/>
        <v>0</v>
      </c>
      <c r="P134" s="34"/>
      <c r="Q134" s="16">
        <f t="shared" si="225"/>
        <v>0</v>
      </c>
      <c r="R134" s="16">
        <f t="shared" si="226"/>
        <v>0</v>
      </c>
      <c r="S134" s="15">
        <f t="shared" si="227"/>
        <v>0</v>
      </c>
      <c r="T134" s="34"/>
      <c r="U134" s="16">
        <f t="shared" si="228"/>
        <v>0</v>
      </c>
      <c r="V134" s="16">
        <f t="shared" ref="V134:V141" si="260">+R134+T134</f>
        <v>0</v>
      </c>
      <c r="W134" s="16">
        <f t="shared" si="229"/>
        <v>0</v>
      </c>
      <c r="X134" s="16">
        <f t="shared" ref="X134:X142" si="261">+L134-V134</f>
        <v>500000</v>
      </c>
      <c r="Y134" s="16">
        <f t="shared" ref="Y134" si="262">+X134/655.957</f>
        <v>762.24508618705192</v>
      </c>
      <c r="Z134" s="43">
        <f t="shared" ref="Z134:Z145" si="263">+V134/L134</f>
        <v>0</v>
      </c>
    </row>
    <row r="135" spans="1:26 16369:16369" s="36" customFormat="1" ht="27.5" hidden="1" customHeight="1" outlineLevel="1" x14ac:dyDescent="0.35">
      <c r="A135" s="71" t="s">
        <v>138</v>
      </c>
      <c r="B135" s="26"/>
      <c r="C135" s="34"/>
      <c r="D135" s="34"/>
      <c r="E135" s="34"/>
      <c r="F135" s="34"/>
      <c r="G135" s="34"/>
      <c r="H135" s="26" t="s">
        <v>41</v>
      </c>
      <c r="I135" s="34">
        <v>1</v>
      </c>
      <c r="J135" s="34">
        <v>1815000</v>
      </c>
      <c r="K135" s="34">
        <f t="shared" si="257"/>
        <v>2766.9496628589982</v>
      </c>
      <c r="L135" s="34">
        <f t="shared" si="258"/>
        <v>1815000</v>
      </c>
      <c r="M135" s="34">
        <f t="shared" si="259"/>
        <v>2766.9496628589982</v>
      </c>
      <c r="N135" s="34"/>
      <c r="O135" s="16">
        <f t="shared" si="224"/>
        <v>0</v>
      </c>
      <c r="P135" s="34"/>
      <c r="Q135" s="16">
        <f t="shared" si="225"/>
        <v>0</v>
      </c>
      <c r="R135" s="16">
        <f t="shared" si="226"/>
        <v>0</v>
      </c>
      <c r="S135" s="15">
        <f t="shared" si="227"/>
        <v>0</v>
      </c>
      <c r="T135" s="34">
        <v>453266.28700000001</v>
      </c>
      <c r="U135" s="16">
        <f t="shared" si="228"/>
        <v>691</v>
      </c>
      <c r="V135" s="16">
        <f t="shared" si="260"/>
        <v>453266.28700000001</v>
      </c>
      <c r="W135" s="16">
        <f t="shared" si="229"/>
        <v>691</v>
      </c>
      <c r="X135" s="16">
        <f t="shared" si="261"/>
        <v>1361733.713</v>
      </c>
      <c r="Y135" s="16">
        <f t="shared" ref="Y135" si="264">+X135/655.957</f>
        <v>2075.9496628589982</v>
      </c>
      <c r="Z135" s="43">
        <f t="shared" si="263"/>
        <v>0.24973349146005511</v>
      </c>
    </row>
    <row r="136" spans="1:26 16369:16369" s="36" customFormat="1" ht="27.5" hidden="1" customHeight="1" outlineLevel="1" x14ac:dyDescent="0.35">
      <c r="A136" s="71" t="s">
        <v>139</v>
      </c>
      <c r="B136" s="26"/>
      <c r="C136" s="34"/>
      <c r="D136" s="34"/>
      <c r="E136" s="34"/>
      <c r="F136" s="34"/>
      <c r="G136" s="34"/>
      <c r="H136" s="26" t="s">
        <v>41</v>
      </c>
      <c r="I136" s="34">
        <v>1</v>
      </c>
      <c r="J136" s="34">
        <v>33000000</v>
      </c>
      <c r="K136" s="34">
        <f t="shared" si="257"/>
        <v>50308.175688345429</v>
      </c>
      <c r="L136" s="34">
        <f t="shared" si="258"/>
        <v>33000000</v>
      </c>
      <c r="M136" s="34">
        <f t="shared" si="259"/>
        <v>50308.175688345429</v>
      </c>
      <c r="N136" s="34"/>
      <c r="O136" s="16">
        <f t="shared" si="224"/>
        <v>0</v>
      </c>
      <c r="P136" s="34"/>
      <c r="Q136" s="16">
        <f t="shared" si="225"/>
        <v>0</v>
      </c>
      <c r="R136" s="16">
        <f t="shared" si="226"/>
        <v>0</v>
      </c>
      <c r="S136" s="15">
        <f t="shared" si="227"/>
        <v>0</v>
      </c>
      <c r="T136" s="34">
        <v>16981414.816</v>
      </c>
      <c r="U136" s="16">
        <f t="shared" si="228"/>
        <v>25888</v>
      </c>
      <c r="V136" s="16">
        <f t="shared" si="260"/>
        <v>16981414.816</v>
      </c>
      <c r="W136" s="16">
        <f t="shared" si="229"/>
        <v>25888</v>
      </c>
      <c r="X136" s="16">
        <f t="shared" si="261"/>
        <v>16018585.184</v>
      </c>
      <c r="Y136" s="16">
        <f t="shared" ref="Y136" si="265">+X136/655.957</f>
        <v>24420.175688345425</v>
      </c>
      <c r="Z136" s="43">
        <f t="shared" si="263"/>
        <v>0.51458832775757579</v>
      </c>
    </row>
    <row r="137" spans="1:26 16369:16369" s="36" customFormat="1" ht="27.5" hidden="1" customHeight="1" outlineLevel="1" x14ac:dyDescent="0.35">
      <c r="A137" s="71" t="s">
        <v>140</v>
      </c>
      <c r="B137" s="26"/>
      <c r="C137" s="34"/>
      <c r="D137" s="34"/>
      <c r="E137" s="34"/>
      <c r="F137" s="34"/>
      <c r="G137" s="34"/>
      <c r="H137" s="26" t="s">
        <v>41</v>
      </c>
      <c r="I137" s="34">
        <v>1</v>
      </c>
      <c r="J137" s="34">
        <v>4600000</v>
      </c>
      <c r="K137" s="34">
        <f t="shared" si="257"/>
        <v>7012.6547929208773</v>
      </c>
      <c r="L137" s="34">
        <f t="shared" si="258"/>
        <v>4600000</v>
      </c>
      <c r="M137" s="34">
        <f t="shared" si="259"/>
        <v>7012.6547929208773</v>
      </c>
      <c r="N137" s="34"/>
      <c r="O137" s="16">
        <f t="shared" si="224"/>
        <v>0</v>
      </c>
      <c r="P137" s="34"/>
      <c r="Q137" s="16">
        <f t="shared" si="225"/>
        <v>0</v>
      </c>
      <c r="R137" s="16">
        <f t="shared" si="226"/>
        <v>0</v>
      </c>
      <c r="S137" s="15">
        <f t="shared" si="227"/>
        <v>0</v>
      </c>
      <c r="T137" s="34">
        <v>2344390.318</v>
      </c>
      <c r="U137" s="16">
        <f t="shared" si="228"/>
        <v>3574</v>
      </c>
      <c r="V137" s="16">
        <f t="shared" si="260"/>
        <v>2344390.318</v>
      </c>
      <c r="W137" s="16">
        <f t="shared" si="229"/>
        <v>3574</v>
      </c>
      <c r="X137" s="16">
        <f t="shared" si="261"/>
        <v>2255609.682</v>
      </c>
      <c r="Y137" s="16">
        <f t="shared" ref="Y137" si="266">+X137/655.957</f>
        <v>3438.6547929208773</v>
      </c>
      <c r="Z137" s="43">
        <f t="shared" si="263"/>
        <v>0.50965006913043476</v>
      </c>
    </row>
    <row r="138" spans="1:26 16369:16369" s="36" customFormat="1" ht="27.5" hidden="1" customHeight="1" outlineLevel="1" x14ac:dyDescent="0.35">
      <c r="A138" s="71" t="s">
        <v>141</v>
      </c>
      <c r="B138" s="26"/>
      <c r="C138" s="34"/>
      <c r="D138" s="34"/>
      <c r="E138" s="34"/>
      <c r="F138" s="34"/>
      <c r="G138" s="34"/>
      <c r="H138" s="26" t="s">
        <v>41</v>
      </c>
      <c r="I138" s="34">
        <v>1</v>
      </c>
      <c r="J138" s="34">
        <v>10000000</v>
      </c>
      <c r="K138" s="34">
        <f t="shared" si="257"/>
        <v>15244.901723741039</v>
      </c>
      <c r="L138" s="34">
        <f t="shared" si="258"/>
        <v>10000000</v>
      </c>
      <c r="M138" s="34">
        <f t="shared" si="259"/>
        <v>15244.901723741039</v>
      </c>
      <c r="N138" s="34"/>
      <c r="O138" s="16">
        <f t="shared" si="224"/>
        <v>0</v>
      </c>
      <c r="P138" s="34"/>
      <c r="Q138" s="16">
        <f t="shared" si="225"/>
        <v>0</v>
      </c>
      <c r="R138" s="16">
        <f t="shared" si="226"/>
        <v>0</v>
      </c>
      <c r="S138" s="15">
        <f t="shared" si="227"/>
        <v>0</v>
      </c>
      <c r="T138" s="34"/>
      <c r="U138" s="16">
        <f t="shared" si="228"/>
        <v>0</v>
      </c>
      <c r="V138" s="16">
        <f t="shared" si="260"/>
        <v>0</v>
      </c>
      <c r="W138" s="16">
        <f t="shared" si="229"/>
        <v>0</v>
      </c>
      <c r="X138" s="16">
        <f t="shared" si="261"/>
        <v>10000000</v>
      </c>
      <c r="Y138" s="16">
        <f t="shared" ref="Y138" si="267">+X138/655.957</f>
        <v>15244.901723741039</v>
      </c>
      <c r="Z138" s="43">
        <f t="shared" si="263"/>
        <v>0</v>
      </c>
    </row>
    <row r="139" spans="1:26 16369:16369" s="35" customFormat="1" ht="39" hidden="1" customHeight="1" outlineLevel="1" collapsed="1" x14ac:dyDescent="0.35">
      <c r="A139" s="71" t="s">
        <v>145</v>
      </c>
      <c r="B139" s="26" t="s">
        <v>109</v>
      </c>
      <c r="C139" s="34"/>
      <c r="D139" s="34"/>
      <c r="E139" s="34"/>
      <c r="F139" s="34"/>
      <c r="G139" s="34"/>
      <c r="H139" s="26" t="s">
        <v>41</v>
      </c>
      <c r="I139" s="34">
        <v>1</v>
      </c>
      <c r="J139" s="34">
        <v>20000000</v>
      </c>
      <c r="K139" s="34">
        <f t="shared" si="257"/>
        <v>30489.803447482078</v>
      </c>
      <c r="L139" s="34">
        <f>I139*J139</f>
        <v>20000000</v>
      </c>
      <c r="M139" s="34">
        <f t="shared" si="259"/>
        <v>30489.803447482078</v>
      </c>
      <c r="N139" s="34"/>
      <c r="O139" s="16">
        <f t="shared" si="224"/>
        <v>0</v>
      </c>
      <c r="P139" s="34"/>
      <c r="Q139" s="16">
        <f t="shared" si="225"/>
        <v>0</v>
      </c>
      <c r="R139" s="16">
        <f t="shared" si="226"/>
        <v>0</v>
      </c>
      <c r="S139" s="15">
        <f t="shared" si="227"/>
        <v>0</v>
      </c>
      <c r="T139" s="34">
        <v>9612393.8780000005</v>
      </c>
      <c r="U139" s="16">
        <f t="shared" si="228"/>
        <v>14654</v>
      </c>
      <c r="V139" s="16">
        <f t="shared" si="260"/>
        <v>9612393.8780000005</v>
      </c>
      <c r="W139" s="16">
        <f t="shared" si="229"/>
        <v>14654</v>
      </c>
      <c r="X139" s="16">
        <f t="shared" si="261"/>
        <v>10387606.122</v>
      </c>
      <c r="Y139" s="16">
        <f t="shared" ref="Y139" si="268">+X139/655.957</f>
        <v>15835.803447482076</v>
      </c>
      <c r="Z139" s="43">
        <f t="shared" si="263"/>
        <v>0.48061969390000003</v>
      </c>
    </row>
    <row r="140" spans="1:26 16369:16369" s="31" customFormat="1" ht="40.5" customHeight="1" collapsed="1" x14ac:dyDescent="0.35">
      <c r="A140" s="58" t="s">
        <v>142</v>
      </c>
      <c r="B140" s="29"/>
      <c r="C140" s="30"/>
      <c r="D140" s="30"/>
      <c r="E140" s="30"/>
      <c r="F140" s="30"/>
      <c r="G140" s="30"/>
      <c r="H140" s="29" t="s">
        <v>41</v>
      </c>
      <c r="I140" s="30">
        <v>1</v>
      </c>
      <c r="J140" s="30">
        <v>17000000</v>
      </c>
      <c r="K140" s="30">
        <f t="shared" si="257"/>
        <v>25916.332930359764</v>
      </c>
      <c r="L140" s="30">
        <f>I140*J140</f>
        <v>17000000</v>
      </c>
      <c r="M140" s="30">
        <f t="shared" ref="M140:M141" si="269">+L140/655.957</f>
        <v>25916.332930359764</v>
      </c>
      <c r="N140" s="30"/>
      <c r="O140" s="13">
        <f t="shared" si="224"/>
        <v>0</v>
      </c>
      <c r="P140" s="30"/>
      <c r="Q140" s="13">
        <f t="shared" si="225"/>
        <v>0</v>
      </c>
      <c r="R140" s="13">
        <f t="shared" si="226"/>
        <v>0</v>
      </c>
      <c r="S140" s="12">
        <f t="shared" si="227"/>
        <v>0</v>
      </c>
      <c r="T140" s="30"/>
      <c r="U140" s="13">
        <f t="shared" si="228"/>
        <v>0</v>
      </c>
      <c r="V140" s="13">
        <f t="shared" si="260"/>
        <v>0</v>
      </c>
      <c r="W140" s="13">
        <f t="shared" si="229"/>
        <v>0</v>
      </c>
      <c r="X140" s="13">
        <f t="shared" si="261"/>
        <v>17000000</v>
      </c>
      <c r="Y140" s="13">
        <f t="shared" ref="Y140" si="270">+X140/655.957</f>
        <v>25916.332930359764</v>
      </c>
      <c r="Z140" s="46">
        <f t="shared" si="263"/>
        <v>0</v>
      </c>
    </row>
    <row r="141" spans="1:26 16369:16369" s="31" customFormat="1" ht="34" customHeight="1" collapsed="1" x14ac:dyDescent="0.35">
      <c r="A141" s="58" t="s">
        <v>143</v>
      </c>
      <c r="B141" s="29"/>
      <c r="C141" s="30"/>
      <c r="D141" s="30"/>
      <c r="E141" s="30"/>
      <c r="F141" s="30"/>
      <c r="G141" s="30"/>
      <c r="H141" s="12" t="s">
        <v>41</v>
      </c>
      <c r="I141" s="3">
        <v>1</v>
      </c>
      <c r="J141" s="13">
        <v>15000000</v>
      </c>
      <c r="K141" s="30">
        <f t="shared" si="257"/>
        <v>22867.352585611556</v>
      </c>
      <c r="L141" s="13">
        <f>I141*J141</f>
        <v>15000000</v>
      </c>
      <c r="M141" s="13">
        <f t="shared" si="269"/>
        <v>22867.352585611556</v>
      </c>
      <c r="N141" s="13"/>
      <c r="O141" s="13">
        <f t="shared" si="224"/>
        <v>0</v>
      </c>
      <c r="P141" s="13"/>
      <c r="Q141" s="13">
        <f t="shared" si="225"/>
        <v>0</v>
      </c>
      <c r="R141" s="13">
        <f t="shared" si="226"/>
        <v>0</v>
      </c>
      <c r="S141" s="12">
        <f t="shared" si="227"/>
        <v>0</v>
      </c>
      <c r="T141" s="13">
        <v>1138085.395</v>
      </c>
      <c r="U141" s="13">
        <f t="shared" si="228"/>
        <v>1735</v>
      </c>
      <c r="V141" s="13">
        <f t="shared" si="260"/>
        <v>1138085.395</v>
      </c>
      <c r="W141" s="13">
        <f t="shared" si="229"/>
        <v>1735</v>
      </c>
      <c r="X141" s="13">
        <f t="shared" si="261"/>
        <v>13861914.605</v>
      </c>
      <c r="Y141" s="13">
        <f t="shared" ref="Y141" si="271">+X141/655.957</f>
        <v>21132.352585611559</v>
      </c>
      <c r="Z141" s="46">
        <f t="shared" si="263"/>
        <v>7.5872359666666667E-2</v>
      </c>
    </row>
    <row r="142" spans="1:26 16369:16369" s="31" customFormat="1" ht="27.5" customHeight="1" x14ac:dyDescent="0.35">
      <c r="A142" s="58" t="s">
        <v>169</v>
      </c>
      <c r="B142" s="29"/>
      <c r="C142" s="30"/>
      <c r="D142" s="30"/>
      <c r="E142" s="30"/>
      <c r="F142" s="30"/>
      <c r="G142" s="30"/>
      <c r="H142" s="12" t="s">
        <v>41</v>
      </c>
      <c r="I142" s="3">
        <v>1</v>
      </c>
      <c r="J142" s="13">
        <v>60000000</v>
      </c>
      <c r="K142" s="30">
        <f t="shared" si="257"/>
        <v>91469.410342446223</v>
      </c>
      <c r="L142" s="13">
        <f>I142*J142</f>
        <v>60000000</v>
      </c>
      <c r="M142" s="13">
        <f t="shared" ref="M142" si="272">+L142/655.957</f>
        <v>91469.410342446223</v>
      </c>
      <c r="N142" s="13"/>
      <c r="O142" s="13">
        <f t="shared" si="224"/>
        <v>0</v>
      </c>
      <c r="P142" s="13"/>
      <c r="Q142" s="13">
        <f t="shared" si="225"/>
        <v>0</v>
      </c>
      <c r="R142" s="13">
        <f t="shared" si="226"/>
        <v>0</v>
      </c>
      <c r="S142" s="12">
        <f t="shared" si="227"/>
        <v>0</v>
      </c>
      <c r="T142" s="13">
        <f>12670268+16720836</f>
        <v>29391104</v>
      </c>
      <c r="U142" s="13">
        <f t="shared" si="228"/>
        <v>44806.449203225209</v>
      </c>
      <c r="V142" s="13">
        <f>+R142+T142</f>
        <v>29391104</v>
      </c>
      <c r="W142" s="13">
        <f t="shared" si="229"/>
        <v>44806.449203225209</v>
      </c>
      <c r="X142" s="13">
        <f t="shared" si="261"/>
        <v>30608896</v>
      </c>
      <c r="Y142" s="13">
        <f t="shared" ref="Y142" si="273">+X142/655.957</f>
        <v>46662.961139221014</v>
      </c>
      <c r="Z142" s="46">
        <f t="shared" si="263"/>
        <v>0.48985173333333332</v>
      </c>
    </row>
    <row r="143" spans="1:26 16369:16369" ht="27.5" customHeight="1" x14ac:dyDescent="0.35">
      <c r="A143" s="65" t="s">
        <v>47</v>
      </c>
      <c r="B143" s="20"/>
      <c r="C143" s="17"/>
      <c r="D143" s="17"/>
      <c r="E143" s="18">
        <f>SUM(E118:E126)</f>
        <v>230194</v>
      </c>
      <c r="F143" s="18">
        <f>+E143*655.957</f>
        <v>150997365.65799999</v>
      </c>
      <c r="G143" s="19">
        <f>F143/$F$152</f>
        <v>0.21096822369086338</v>
      </c>
      <c r="H143" s="20"/>
      <c r="I143" s="17"/>
      <c r="J143" s="17"/>
      <c r="K143" s="17"/>
      <c r="L143" s="18">
        <f t="shared" ref="L143:S143" si="274">L118+L119+L126+L133+L140+L141+L142</f>
        <v>494515000</v>
      </c>
      <c r="M143" s="18">
        <f t="shared" si="274"/>
        <v>753883.25759157992</v>
      </c>
      <c r="N143" s="18">
        <f t="shared" si="274"/>
        <v>34875631</v>
      </c>
      <c r="O143" s="18">
        <f t="shared" si="274"/>
        <v>53167.556714845632</v>
      </c>
      <c r="P143" s="18">
        <f t="shared" si="274"/>
        <v>71056962</v>
      </c>
      <c r="Q143" s="18">
        <f t="shared" si="274"/>
        <v>108325.64024776015</v>
      </c>
      <c r="R143" s="18">
        <f t="shared" si="274"/>
        <v>105932593</v>
      </c>
      <c r="S143" s="18">
        <f t="shared" si="274"/>
        <v>161493.19696260578</v>
      </c>
      <c r="T143" s="18">
        <f t="shared" ref="T143:W143" si="275">T118+T119+T126+T133+T140+T141+T142</f>
        <v>148321913.43699998</v>
      </c>
      <c r="U143" s="18">
        <f t="shared" si="275"/>
        <v>226115.29938242902</v>
      </c>
      <c r="V143" s="18">
        <f t="shared" si="275"/>
        <v>254254506.43700001</v>
      </c>
      <c r="W143" s="18">
        <f t="shared" si="275"/>
        <v>387608.4963450348</v>
      </c>
      <c r="X143" s="18">
        <f>X118+X119+X126+X133+X140+X141+X142</f>
        <v>240260493.56299999</v>
      </c>
      <c r="Y143" s="18">
        <f>Y118+Y119+Y126+Y133+Y140+Y141+Y142</f>
        <v>366274.76124654518</v>
      </c>
      <c r="Z143" s="47">
        <f t="shared" si="263"/>
        <v>0.51414922992629142</v>
      </c>
    </row>
    <row r="144" spans="1:26 16369:16369" ht="27.5" customHeight="1" collapsed="1" x14ac:dyDescent="0.35">
      <c r="A144" s="160" t="s">
        <v>48</v>
      </c>
      <c r="B144" s="160"/>
      <c r="C144" s="160"/>
      <c r="D144" s="160"/>
      <c r="E144" s="24">
        <f>E72+E96+E116+E143</f>
        <v>616196.00922316557</v>
      </c>
      <c r="F144" s="24">
        <f>+E144*655.957</f>
        <v>404198085.62200004</v>
      </c>
      <c r="G144" s="24">
        <f>F144/$F$152</f>
        <v>0.564731389659201</v>
      </c>
      <c r="H144" s="22"/>
      <c r="I144" s="23"/>
      <c r="J144" s="23"/>
      <c r="K144" s="23"/>
      <c r="L144" s="24">
        <f>L72+L96+L116+L143+L53</f>
        <v>1073140590</v>
      </c>
      <c r="M144" s="24">
        <f>M72+M96+M116+M143+M53</f>
        <v>1635992.2830307474</v>
      </c>
      <c r="N144" s="24">
        <f t="shared" ref="N144" si="276">N72+N96+N116+N143+N53</f>
        <v>72839326</v>
      </c>
      <c r="O144" s="24">
        <f>O72+O96+O116+O143+O53</f>
        <v>111042.83664935353</v>
      </c>
      <c r="P144" s="24">
        <f>P72+P96+P116+P143+P53</f>
        <v>153346355</v>
      </c>
      <c r="Q144" s="24">
        <f>Q72+Q96+Q116+Q143+Q53</f>
        <v>233775.0111668905</v>
      </c>
      <c r="R144" s="24">
        <f t="shared" ref="R144:W144" si="277">R72+R96+R116+R143</f>
        <v>226185681</v>
      </c>
      <c r="S144" s="24">
        <f t="shared" si="277"/>
        <v>344817.847816244</v>
      </c>
      <c r="T144" s="24">
        <f t="shared" si="277"/>
        <v>381558383.57255995</v>
      </c>
      <c r="U144" s="24">
        <f t="shared" si="277"/>
        <v>581682.00594331638</v>
      </c>
      <c r="V144" s="24">
        <f t="shared" si="277"/>
        <v>607744064.57255995</v>
      </c>
      <c r="W144" s="24">
        <f t="shared" si="277"/>
        <v>926499.8537595605</v>
      </c>
      <c r="X144" s="24">
        <f>L144-V144</f>
        <v>465396525.42744005</v>
      </c>
      <c r="Y144" s="24">
        <f>Y72+Y96+Y116+Y143</f>
        <v>706443.44892643881</v>
      </c>
      <c r="Z144" s="48">
        <f t="shared" si="263"/>
        <v>0.56632287533971659</v>
      </c>
    </row>
    <row r="145" spans="1:26" s="28" customFormat="1" ht="28" customHeight="1" x14ac:dyDescent="0.35">
      <c r="A145" s="73" t="s">
        <v>49</v>
      </c>
      <c r="B145" s="26"/>
      <c r="C145" s="27"/>
      <c r="D145" s="27"/>
      <c r="E145" s="30">
        <f>E54+E144</f>
        <v>1019747.0092231656</v>
      </c>
      <c r="F145" s="30">
        <f>+E145*655.957</f>
        <v>668910188.92900002</v>
      </c>
      <c r="G145" s="30">
        <f>F145/$F$152</f>
        <v>0.93457785672033911</v>
      </c>
      <c r="H145" s="26"/>
      <c r="I145" s="27"/>
      <c r="J145" s="27"/>
      <c r="K145" s="27"/>
      <c r="L145" s="30">
        <f>L54+L144</f>
        <v>1495324334.2620001</v>
      </c>
      <c r="M145" s="30">
        <f>M54+M144</f>
        <v>2279607.2520942683</v>
      </c>
      <c r="N145" s="30">
        <f>N54+N144</f>
        <v>141920165.96000001</v>
      </c>
      <c r="O145" s="30">
        <f>+N145/655.957</f>
        <v>216355.89826772184</v>
      </c>
      <c r="P145" s="30">
        <f t="shared" ref="P145:U145" si="278">P54+P144</f>
        <v>220755546</v>
      </c>
      <c r="Q145" s="30">
        <f t="shared" si="278"/>
        <v>336539.66037407937</v>
      </c>
      <c r="R145" s="30">
        <f t="shared" si="278"/>
        <v>362675711.96000004</v>
      </c>
      <c r="S145" s="30">
        <f t="shared" si="278"/>
        <v>552895.55864180124</v>
      </c>
      <c r="T145" s="30">
        <f t="shared" si="278"/>
        <v>467569904.07255995</v>
      </c>
      <c r="U145" s="30">
        <f t="shared" si="278"/>
        <v>712805.72365652013</v>
      </c>
      <c r="V145" s="16">
        <f>+R145+T145</f>
        <v>830245616.03255999</v>
      </c>
      <c r="W145" s="16">
        <f>+V145/655.957</f>
        <v>1265701.2822983214</v>
      </c>
      <c r="X145" s="30">
        <f>X54+X144</f>
        <v>665078718.22943997</v>
      </c>
      <c r="Y145" s="30">
        <f>Y54+Y144</f>
        <v>1010856.9894511988</v>
      </c>
      <c r="Z145" s="50">
        <f t="shared" si="263"/>
        <v>0.55522778370507697</v>
      </c>
    </row>
    <row r="146" spans="1:26" ht="28" customHeight="1" x14ac:dyDescent="0.35">
      <c r="A146" s="64" t="s">
        <v>50</v>
      </c>
      <c r="B146" s="15"/>
      <c r="C146" s="54"/>
      <c r="D146" s="54"/>
      <c r="E146" s="16">
        <f>E145*0/100</f>
        <v>0</v>
      </c>
      <c r="F146" s="16">
        <f t="shared" si="241"/>
        <v>0</v>
      </c>
      <c r="G146" s="16"/>
      <c r="H146" s="15"/>
      <c r="I146" s="54"/>
      <c r="J146" s="54"/>
      <c r="K146" s="54"/>
      <c r="L146" s="16">
        <v>0</v>
      </c>
      <c r="M146" s="16">
        <f>+L146*655.957</f>
        <v>0</v>
      </c>
      <c r="N146" s="16"/>
      <c r="O146" s="16">
        <f>+N146/655.957</f>
        <v>0</v>
      </c>
      <c r="P146" s="16"/>
      <c r="Q146" s="16">
        <f>+P146/655.957</f>
        <v>0</v>
      </c>
      <c r="R146" s="16">
        <f>N146+P146</f>
        <v>0</v>
      </c>
      <c r="S146" s="15">
        <f>+R146/655.957</f>
        <v>0</v>
      </c>
      <c r="T146" s="16"/>
      <c r="U146" s="16">
        <f>+T146/655.957</f>
        <v>0</v>
      </c>
      <c r="V146" s="16">
        <f>+R146+T146</f>
        <v>0</v>
      </c>
      <c r="W146" s="16"/>
      <c r="X146" s="16"/>
      <c r="Y146" s="16"/>
      <c r="Z146" s="43"/>
    </row>
    <row r="147" spans="1:26" s="28" customFormat="1" ht="28" customHeight="1" x14ac:dyDescent="0.35">
      <c r="A147" s="74" t="s">
        <v>51</v>
      </c>
      <c r="B147" s="23"/>
      <c r="C147" s="23"/>
      <c r="D147" s="23"/>
      <c r="E147" s="24">
        <f>E145+E146</f>
        <v>1019747.0092231656</v>
      </c>
      <c r="F147" s="24">
        <f>+E147*655.957</f>
        <v>668910188.92900002</v>
      </c>
      <c r="G147" s="24">
        <f>F147/$F$152</f>
        <v>0.93457785672033911</v>
      </c>
      <c r="H147" s="22"/>
      <c r="I147" s="23"/>
      <c r="J147" s="23"/>
      <c r="K147" s="23"/>
      <c r="L147" s="24">
        <f>L145+L146</f>
        <v>1495324334.2620001</v>
      </c>
      <c r="M147" s="24">
        <f>M145+M146</f>
        <v>2279607.2520942683</v>
      </c>
      <c r="N147" s="24">
        <f t="shared" ref="N147:S147" si="279">N145+N146</f>
        <v>141920165.96000001</v>
      </c>
      <c r="O147" s="24">
        <f>O145+O146</f>
        <v>216355.89826772184</v>
      </c>
      <c r="P147" s="24">
        <f t="shared" si="279"/>
        <v>220755546</v>
      </c>
      <c r="Q147" s="24">
        <f t="shared" si="279"/>
        <v>336539.66037407937</v>
      </c>
      <c r="R147" s="24">
        <f>R145+R146</f>
        <v>362675711.96000004</v>
      </c>
      <c r="S147" s="24">
        <f t="shared" si="279"/>
        <v>552895.55864180124</v>
      </c>
      <c r="T147" s="24">
        <f>T145+T146</f>
        <v>467569904.07255995</v>
      </c>
      <c r="U147" s="24">
        <f>U145+U146</f>
        <v>712805.72365652013</v>
      </c>
      <c r="V147" s="24">
        <f>V145+V146</f>
        <v>830245616.03255999</v>
      </c>
      <c r="W147" s="24">
        <f>W145+W146</f>
        <v>1265701.2822983214</v>
      </c>
      <c r="X147" s="24">
        <f>X145+X146</f>
        <v>665078718.22943997</v>
      </c>
      <c r="Y147" s="24">
        <f t="shared" ref="Y147" si="280">Y145+Y146</f>
        <v>1010856.9894511988</v>
      </c>
      <c r="Z147" s="48">
        <f>+V147/L147</f>
        <v>0.55522778370507697</v>
      </c>
    </row>
    <row r="148" spans="1:26" s="28" customFormat="1" ht="28" customHeight="1" x14ac:dyDescent="0.35">
      <c r="A148" s="75" t="s">
        <v>52</v>
      </c>
      <c r="B148" s="26"/>
      <c r="C148" s="27"/>
      <c r="D148" s="27"/>
      <c r="E148" s="27">
        <f>E147*7/100</f>
        <v>71382.290645621586</v>
      </c>
      <c r="F148" s="27">
        <f>+E148*655.957</f>
        <v>46823713.225029998</v>
      </c>
      <c r="G148" s="30">
        <f>F148/$F$152</f>
        <v>6.5420449970423733E-2</v>
      </c>
      <c r="H148" s="26"/>
      <c r="I148" s="27"/>
      <c r="J148" s="27"/>
      <c r="K148" s="27"/>
      <c r="L148" s="27">
        <f>+L147*7.00019808419029%</f>
        <v>104675665.39943974</v>
      </c>
      <c r="M148" s="27">
        <f>+M147*7%</f>
        <v>159572.50764659879</v>
      </c>
      <c r="N148" s="27">
        <f>+N147*0.07</f>
        <v>9934411.6172000021</v>
      </c>
      <c r="O148" s="16">
        <f>+N148/655.957</f>
        <v>15144.91287874053</v>
      </c>
      <c r="P148" s="27">
        <f>+P147*0.07</f>
        <v>15452888.220000001</v>
      </c>
      <c r="Q148" s="16">
        <f>+P148/655.957</f>
        <v>23557.776226185561</v>
      </c>
      <c r="R148" s="16">
        <f>N148+P148</f>
        <v>25387299.837200001</v>
      </c>
      <c r="S148" s="15">
        <f>+R148/655.957</f>
        <v>38702.689104926088</v>
      </c>
      <c r="T148" s="27">
        <f>+T147*7%</f>
        <v>32729893.2850792</v>
      </c>
      <c r="U148" s="16">
        <f>+T148/655.957</f>
        <v>49896.400655956415</v>
      </c>
      <c r="V148" s="27">
        <f>+V147*7%</f>
        <v>58117193.122279204</v>
      </c>
      <c r="W148" s="16">
        <f t="shared" ref="W148" si="281">+V148/655.957</f>
        <v>88599.089760882503</v>
      </c>
      <c r="X148" s="16">
        <f>+L148-V148</f>
        <v>46558472.277160533</v>
      </c>
      <c r="Y148" s="16">
        <f t="shared" ref="Y148" si="282">+X148/655.957</f>
        <v>70977.933427283395</v>
      </c>
      <c r="Z148" s="43"/>
    </row>
    <row r="149" spans="1:26" s="28" customFormat="1" ht="28" customHeight="1" x14ac:dyDescent="0.35">
      <c r="A149" s="74" t="s">
        <v>53</v>
      </c>
      <c r="B149" s="23"/>
      <c r="C149" s="23"/>
      <c r="D149" s="23"/>
      <c r="E149" s="24">
        <f>E147+E148</f>
        <v>1091129.2998687872</v>
      </c>
      <c r="F149" s="24">
        <f>+E149*655.957</f>
        <v>715733902.15402997</v>
      </c>
      <c r="G149" s="24">
        <f>F149/$F$152</f>
        <v>0.99999830669076273</v>
      </c>
      <c r="H149" s="22"/>
      <c r="I149" s="23"/>
      <c r="J149" s="23"/>
      <c r="K149" s="23"/>
      <c r="L149" s="24">
        <f t="shared" ref="L149:Y149" si="283">L147+L148</f>
        <v>1599999999.6614399</v>
      </c>
      <c r="M149" s="24">
        <f t="shared" si="283"/>
        <v>2439179.7597408672</v>
      </c>
      <c r="N149" s="24">
        <f t="shared" si="283"/>
        <v>151854577.5772</v>
      </c>
      <c r="O149" s="24">
        <f t="shared" si="283"/>
        <v>231500.81114646237</v>
      </c>
      <c r="P149" s="24">
        <f t="shared" si="283"/>
        <v>236208434.22</v>
      </c>
      <c r="Q149" s="24">
        <f t="shared" si="283"/>
        <v>360097.43660026492</v>
      </c>
      <c r="R149" s="24">
        <f t="shared" si="283"/>
        <v>388063011.79720002</v>
      </c>
      <c r="S149" s="24">
        <f t="shared" si="283"/>
        <v>591598.24774672731</v>
      </c>
      <c r="T149" s="24">
        <f>T147+T148</f>
        <v>500299797.35763913</v>
      </c>
      <c r="U149" s="24">
        <f t="shared" si="283"/>
        <v>762702.12431247649</v>
      </c>
      <c r="V149" s="24">
        <f>V147+V148</f>
        <v>888362809.15483916</v>
      </c>
      <c r="W149" s="24">
        <f t="shared" si="283"/>
        <v>1354300.3720592039</v>
      </c>
      <c r="X149" s="24">
        <f t="shared" si="283"/>
        <v>711637190.5066005</v>
      </c>
      <c r="Y149" s="24">
        <f t="shared" si="283"/>
        <v>1081834.9228784821</v>
      </c>
      <c r="Z149" s="48">
        <f>+V149/L149</f>
        <v>0.55522675583926051</v>
      </c>
    </row>
    <row r="150" spans="1:26" ht="28" customHeight="1" x14ac:dyDescent="0.35">
      <c r="A150" s="64" t="s">
        <v>54</v>
      </c>
      <c r="B150" s="15"/>
      <c r="C150" s="54"/>
      <c r="D150" s="54"/>
      <c r="E150" s="54"/>
      <c r="F150" s="54">
        <f t="shared" si="241"/>
        <v>0</v>
      </c>
      <c r="G150" s="54"/>
      <c r="H150" s="15"/>
      <c r="I150" s="54"/>
      <c r="J150" s="54"/>
      <c r="K150" s="54"/>
      <c r="L150" s="54"/>
      <c r="M150" s="54"/>
      <c r="N150" s="54"/>
      <c r="O150" s="54"/>
      <c r="P150" s="54"/>
      <c r="Q150" s="54"/>
      <c r="R150" s="54"/>
      <c r="S150" s="15"/>
      <c r="T150" s="54"/>
      <c r="U150" s="54"/>
      <c r="V150" s="54"/>
      <c r="W150" s="91"/>
      <c r="X150" s="91"/>
      <c r="Y150" s="91"/>
      <c r="Z150" s="49"/>
    </row>
    <row r="151" spans="1:26" ht="28" customHeight="1" x14ac:dyDescent="0.35">
      <c r="A151" s="64" t="s">
        <v>55</v>
      </c>
      <c r="B151" s="15"/>
      <c r="C151" s="54"/>
      <c r="D151" s="54"/>
      <c r="E151" s="54"/>
      <c r="F151" s="54">
        <f t="shared" si="241"/>
        <v>0</v>
      </c>
      <c r="G151" s="54"/>
      <c r="H151" s="15"/>
      <c r="I151" s="54"/>
      <c r="J151" s="54"/>
      <c r="K151" s="54"/>
      <c r="L151" s="54"/>
      <c r="M151" s="54"/>
      <c r="N151" s="54"/>
      <c r="O151" s="54"/>
      <c r="P151" s="54"/>
      <c r="Q151" s="54"/>
      <c r="R151" s="54"/>
      <c r="S151" s="15"/>
      <c r="T151" s="54"/>
      <c r="U151" s="54"/>
      <c r="V151" s="54"/>
      <c r="W151" s="54" t="s">
        <v>0</v>
      </c>
      <c r="X151" s="54"/>
      <c r="Y151" s="54"/>
      <c r="Z151" s="49"/>
    </row>
    <row r="152" spans="1:26" ht="28" customHeight="1" x14ac:dyDescent="0.35">
      <c r="A152" s="76" t="s">
        <v>56</v>
      </c>
      <c r="B152" s="39"/>
      <c r="C152" s="40"/>
      <c r="D152" s="40"/>
      <c r="E152" s="41">
        <f>E149+1.84</f>
        <v>1091131.1398687873</v>
      </c>
      <c r="F152" s="41">
        <f>+E152*655.957+5</f>
        <v>715735114.11491013</v>
      </c>
      <c r="G152" s="41">
        <v>1</v>
      </c>
      <c r="H152" s="39"/>
      <c r="I152" s="40"/>
      <c r="J152" s="40"/>
      <c r="K152" s="40"/>
      <c r="L152" s="41">
        <f>L149</f>
        <v>1599999999.6614399</v>
      </c>
      <c r="M152" s="41">
        <f>M149</f>
        <v>2439179.7597408672</v>
      </c>
      <c r="N152" s="41">
        <f t="shared" ref="N152:Q152" si="284">N149</f>
        <v>151854577.5772</v>
      </c>
      <c r="O152" s="41">
        <f t="shared" si="284"/>
        <v>231500.81114646237</v>
      </c>
      <c r="P152" s="41">
        <f>P149</f>
        <v>236208434.22</v>
      </c>
      <c r="Q152" s="41">
        <f t="shared" si="284"/>
        <v>360097.43660026492</v>
      </c>
      <c r="R152" s="41">
        <f>N152+P152</f>
        <v>388063011.79719996</v>
      </c>
      <c r="S152" s="41">
        <f>+R152/655.957</f>
        <v>591598.2477467272</v>
      </c>
      <c r="T152" s="41">
        <f>T149</f>
        <v>500299797.35763913</v>
      </c>
      <c r="U152" s="41">
        <f t="shared" ref="U152:Y152" si="285">U149</f>
        <v>762702.12431247649</v>
      </c>
      <c r="V152" s="41">
        <f>V149</f>
        <v>888362809.15483916</v>
      </c>
      <c r="W152" s="41">
        <f t="shared" si="285"/>
        <v>1354300.3720592039</v>
      </c>
      <c r="X152" s="41">
        <f>X149</f>
        <v>711637190.5066005</v>
      </c>
      <c r="Y152" s="41">
        <f t="shared" si="285"/>
        <v>1081834.9228784821</v>
      </c>
      <c r="Z152" s="51">
        <f>+V152/L152</f>
        <v>0.55522675583926051</v>
      </c>
    </row>
    <row r="156" spans="1:26" x14ac:dyDescent="0.35">
      <c r="X156" s="1">
        <f>+X152+V152</f>
        <v>1599999999.6614397</v>
      </c>
    </row>
  </sheetData>
  <mergeCells count="16">
    <mergeCell ref="B75:F75"/>
    <mergeCell ref="B4:G4"/>
    <mergeCell ref="H4:M4"/>
    <mergeCell ref="A144:D144"/>
    <mergeCell ref="B116:D116"/>
    <mergeCell ref="H116:J116"/>
    <mergeCell ref="B92:F92"/>
    <mergeCell ref="B79:F79"/>
    <mergeCell ref="Z4:Z5"/>
    <mergeCell ref="T4:U4"/>
    <mergeCell ref="V4:W4"/>
    <mergeCell ref="X4:Y4"/>
    <mergeCell ref="H3:M3"/>
    <mergeCell ref="N4:O4"/>
    <mergeCell ref="P4:Q4"/>
    <mergeCell ref="R4:S4"/>
  </mergeCells>
  <pageMargins left="0.70866141732283472" right="0.70866141732283472" top="0.74803149606299213" bottom="0.74803149606299213" header="0.31496062992125984" footer="0.31496062992125984"/>
  <pageSetup paperSize="9" scale="66" fitToWidth="4" fitToHeight="4" orientation="landscape" r:id="rId1"/>
  <headerFooter>
    <oddFooter>&amp;L&amp;F</oddFooter>
  </headerFooter>
  <rowBreaks count="1" manualBreakCount="1">
    <brk id="121" max="2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58A1-A068-421F-8858-735F78B8C699}">
  <dimension ref="B3:I27"/>
  <sheetViews>
    <sheetView topLeftCell="A17" workbookViewId="0">
      <selection activeCell="E23" sqref="E23"/>
    </sheetView>
  </sheetViews>
  <sheetFormatPr baseColWidth="10" defaultRowHeight="14.5" x14ac:dyDescent="0.35"/>
  <cols>
    <col min="1" max="1" width="3.54296875" style="95" customWidth="1"/>
    <col min="2" max="2" width="47.36328125" style="96" customWidth="1"/>
    <col min="3" max="8" width="12.7265625" style="95" customWidth="1"/>
    <col min="9" max="9" width="14" style="95" customWidth="1"/>
    <col min="10" max="16384" width="10.90625" style="95"/>
  </cols>
  <sheetData>
    <row r="3" spans="2:9" ht="15.5" x14ac:dyDescent="0.35">
      <c r="B3" s="79" t="s">
        <v>186</v>
      </c>
    </row>
    <row r="6" spans="2:9" ht="15" thickBot="1" x14ac:dyDescent="0.4"/>
    <row r="7" spans="2:9" ht="32.5" customHeight="1" thickBot="1" x14ac:dyDescent="0.4">
      <c r="B7" s="97" t="s">
        <v>1</v>
      </c>
      <c r="C7" s="161" t="s">
        <v>189</v>
      </c>
      <c r="D7" s="162"/>
      <c r="E7" s="161" t="s">
        <v>178</v>
      </c>
      <c r="F7" s="162"/>
      <c r="G7" s="161" t="s">
        <v>180</v>
      </c>
      <c r="H7" s="162"/>
      <c r="I7" s="163" t="s">
        <v>190</v>
      </c>
    </row>
    <row r="8" spans="2:9" ht="21.5" customHeight="1" thickBot="1" x14ac:dyDescent="0.4">
      <c r="B8" s="98" t="s">
        <v>2</v>
      </c>
      <c r="C8" s="99" t="s">
        <v>177</v>
      </c>
      <c r="D8" s="100" t="s">
        <v>101</v>
      </c>
      <c r="E8" s="99" t="s">
        <v>177</v>
      </c>
      <c r="F8" s="100" t="s">
        <v>101</v>
      </c>
      <c r="G8" s="101" t="s">
        <v>177</v>
      </c>
      <c r="H8" s="100" t="s">
        <v>101</v>
      </c>
      <c r="I8" s="164"/>
    </row>
    <row r="9" spans="2:9" x14ac:dyDescent="0.35">
      <c r="B9" s="102" t="s">
        <v>9</v>
      </c>
      <c r="C9" s="103">
        <v>62322950</v>
      </c>
      <c r="D9" s="104">
        <f>C9/655.957</f>
        <v>95010.724788362655</v>
      </c>
      <c r="E9" s="105">
        <v>65430928</v>
      </c>
      <c r="F9" s="104">
        <f>E9/655.957</f>
        <v>99748.806705317576</v>
      </c>
      <c r="G9" s="106">
        <f>+C9-E9</f>
        <v>-3107978</v>
      </c>
      <c r="H9" s="104">
        <f>G9/655.957</f>
        <v>-4738.0819169549222</v>
      </c>
      <c r="I9" s="107">
        <f>+E9/C9</f>
        <v>1.0498689166671347</v>
      </c>
    </row>
    <row r="10" spans="2:9" x14ac:dyDescent="0.35">
      <c r="B10" s="108" t="s">
        <v>191</v>
      </c>
      <c r="C10" s="109">
        <v>3935736</v>
      </c>
      <c r="D10" s="110">
        <f t="shared" ref="D10:F26" si="0">C10/655.957</f>
        <v>5999.9908530589655</v>
      </c>
      <c r="E10" s="111">
        <v>3883306</v>
      </c>
      <c r="F10" s="110">
        <f t="shared" si="0"/>
        <v>5920.0618333213915</v>
      </c>
      <c r="G10" s="112">
        <f t="shared" ref="G10:G18" si="1">+C10-E10</f>
        <v>52430</v>
      </c>
      <c r="H10" s="110">
        <f t="shared" ref="H10:H27" si="2">G10/655.957</f>
        <v>79.929019737574265</v>
      </c>
      <c r="I10" s="107">
        <f t="shared" ref="I10:I18" si="3">+E10/C10</f>
        <v>0.98667847640187245</v>
      </c>
    </row>
    <row r="11" spans="2:9" x14ac:dyDescent="0.35">
      <c r="B11" s="108" t="s">
        <v>59</v>
      </c>
      <c r="C11" s="109">
        <v>9277911</v>
      </c>
      <c r="D11" s="110">
        <f t="shared" si="0"/>
        <v>14144.084139661594</v>
      </c>
      <c r="E11" s="111">
        <v>9277456</v>
      </c>
      <c r="F11" s="110">
        <f t="shared" si="0"/>
        <v>14143.390496633163</v>
      </c>
      <c r="G11" s="112">
        <f t="shared" si="1"/>
        <v>455</v>
      </c>
      <c r="H11" s="110">
        <f t="shared" si="2"/>
        <v>0.69364302843021719</v>
      </c>
      <c r="I11" s="107">
        <v>0</v>
      </c>
    </row>
    <row r="12" spans="2:9" x14ac:dyDescent="0.35">
      <c r="B12" s="108" t="s">
        <v>192</v>
      </c>
      <c r="C12" s="109">
        <v>5004298</v>
      </c>
      <c r="D12" s="110">
        <f t="shared" si="0"/>
        <v>7629.0031206313834</v>
      </c>
      <c r="E12" s="111">
        <v>5537831</v>
      </c>
      <c r="F12" s="110">
        <f t="shared" si="0"/>
        <v>8442.3689357686562</v>
      </c>
      <c r="G12" s="112">
        <f t="shared" si="1"/>
        <v>-533533</v>
      </c>
      <c r="H12" s="110">
        <f t="shared" si="2"/>
        <v>-813.36581513727276</v>
      </c>
      <c r="I12" s="107">
        <f t="shared" si="3"/>
        <v>1.1066149537857257</v>
      </c>
    </row>
    <row r="13" spans="2:9" x14ac:dyDescent="0.35">
      <c r="B13" s="108" t="s">
        <v>193</v>
      </c>
      <c r="C13" s="109">
        <v>2000000</v>
      </c>
      <c r="D13" s="110">
        <f>C13/655.957</f>
        <v>3048.9803447482077</v>
      </c>
      <c r="E13" s="111">
        <v>1882000</v>
      </c>
      <c r="F13" s="110">
        <f t="shared" si="0"/>
        <v>2869.0905044080632</v>
      </c>
      <c r="G13" s="112">
        <f t="shared" si="1"/>
        <v>118000</v>
      </c>
      <c r="H13" s="110">
        <f t="shared" si="2"/>
        <v>179.88984034014425</v>
      </c>
      <c r="I13" s="107">
        <f t="shared" si="3"/>
        <v>0.94099999999999995</v>
      </c>
    </row>
    <row r="14" spans="2:9" s="113" customFormat="1" ht="19" customHeight="1" x14ac:dyDescent="0.35">
      <c r="B14" s="114" t="s">
        <v>37</v>
      </c>
      <c r="C14" s="115">
        <f>SUM(C9:C13)</f>
        <v>82540895</v>
      </c>
      <c r="D14" s="115">
        <f>C14/655.957</f>
        <v>125832.7832464628</v>
      </c>
      <c r="E14" s="116">
        <f>SUM(E9:E13)</f>
        <v>86011521</v>
      </c>
      <c r="F14" s="115">
        <f t="shared" si="0"/>
        <v>131123.71847544884</v>
      </c>
      <c r="G14" s="117">
        <f>SUM(G9:G13)</f>
        <v>-3470626</v>
      </c>
      <c r="H14" s="115">
        <f t="shared" si="2"/>
        <v>-5290.9352289860462</v>
      </c>
      <c r="I14" s="118"/>
    </row>
    <row r="15" spans="2:9" x14ac:dyDescent="0.35">
      <c r="B15" s="119" t="s">
        <v>194</v>
      </c>
      <c r="C15" s="120">
        <v>28500000</v>
      </c>
      <c r="D15" s="110">
        <f t="shared" si="0"/>
        <v>43447.96991266196</v>
      </c>
      <c r="E15" s="111">
        <v>19453668</v>
      </c>
      <c r="F15" s="110">
        <f t="shared" si="0"/>
        <v>29656.925682628585</v>
      </c>
      <c r="G15" s="112">
        <f t="shared" si="1"/>
        <v>9046332</v>
      </c>
      <c r="H15" s="110">
        <f t="shared" si="2"/>
        <v>13791.044230033371</v>
      </c>
      <c r="I15" s="107">
        <f t="shared" si="3"/>
        <v>0.68258484210526316</v>
      </c>
    </row>
    <row r="16" spans="2:9" ht="39" x14ac:dyDescent="0.35">
      <c r="B16" s="108" t="s">
        <v>70</v>
      </c>
      <c r="C16" s="120">
        <v>198040000</v>
      </c>
      <c r="D16" s="110">
        <f t="shared" si="0"/>
        <v>301910.03373696754</v>
      </c>
      <c r="E16" s="111">
        <v>177062075</v>
      </c>
      <c r="F16" s="110">
        <f t="shared" si="0"/>
        <v>269929.39323766652</v>
      </c>
      <c r="G16" s="112">
        <f t="shared" si="1"/>
        <v>20977925</v>
      </c>
      <c r="H16" s="110">
        <f t="shared" si="2"/>
        <v>31980.640499301022</v>
      </c>
      <c r="I16" s="107">
        <f t="shared" si="3"/>
        <v>0.89407228337709554</v>
      </c>
    </row>
    <row r="17" spans="2:9" ht="39" x14ac:dyDescent="0.35">
      <c r="B17" s="108" t="s">
        <v>126</v>
      </c>
      <c r="C17" s="120">
        <v>39000000</v>
      </c>
      <c r="D17" s="110">
        <f t="shared" si="0"/>
        <v>59455.11672259005</v>
      </c>
      <c r="E17" s="111">
        <v>36720727</v>
      </c>
      <c r="F17" s="110">
        <f t="shared" si="0"/>
        <v>55980.38743393241</v>
      </c>
      <c r="G17" s="112">
        <f t="shared" si="1"/>
        <v>2279273</v>
      </c>
      <c r="H17" s="110">
        <f t="shared" si="2"/>
        <v>3474.7292886576406</v>
      </c>
      <c r="I17" s="107">
        <f t="shared" si="3"/>
        <v>0.94155710256410252</v>
      </c>
    </row>
    <row r="18" spans="2:9" ht="78.5" thickBot="1" x14ac:dyDescent="0.4">
      <c r="B18" s="108" t="s">
        <v>73</v>
      </c>
      <c r="C18" s="121">
        <v>165157500</v>
      </c>
      <c r="D18" s="122">
        <f t="shared" si="0"/>
        <v>251780.98564387605</v>
      </c>
      <c r="E18" s="123">
        <v>148321913</v>
      </c>
      <c r="F18" s="122">
        <f t="shared" si="0"/>
        <v>226115.29871622683</v>
      </c>
      <c r="G18" s="124">
        <f t="shared" si="1"/>
        <v>16835587</v>
      </c>
      <c r="H18" s="122">
        <f t="shared" si="2"/>
        <v>25665.686927649222</v>
      </c>
      <c r="I18" s="125">
        <f t="shared" si="3"/>
        <v>0.89806344247158021</v>
      </c>
    </row>
    <row r="19" spans="2:9" s="113" customFormat="1" ht="15" thickBot="1" x14ac:dyDescent="0.4">
      <c r="B19" s="126" t="s">
        <v>195</v>
      </c>
      <c r="C19" s="127">
        <f>SUM(C15:C18)</f>
        <v>430697500</v>
      </c>
      <c r="D19" s="127">
        <f t="shared" si="0"/>
        <v>656594.10601609561</v>
      </c>
      <c r="E19" s="127">
        <f>SUM(E15:E18)</f>
        <v>381558383</v>
      </c>
      <c r="F19" s="127">
        <f t="shared" si="0"/>
        <v>581682.00507045432</v>
      </c>
      <c r="G19" s="128">
        <f>SUM(G15:G18)</f>
        <v>49139117</v>
      </c>
      <c r="H19" s="127">
        <f t="shared" si="2"/>
        <v>74912.100945641258</v>
      </c>
      <c r="I19" s="129">
        <f>+E19/C19</f>
        <v>0.88590805147464291</v>
      </c>
    </row>
    <row r="20" spans="2:9" s="113" customFormat="1" ht="26.5" thickBot="1" x14ac:dyDescent="0.4">
      <c r="B20" s="130" t="s">
        <v>49</v>
      </c>
      <c r="C20" s="131">
        <f>C14+C19</f>
        <v>513238395</v>
      </c>
      <c r="D20" s="131">
        <f t="shared" si="0"/>
        <v>782426.88926255843</v>
      </c>
      <c r="E20" s="131">
        <f>E14+E19</f>
        <v>467569904</v>
      </c>
      <c r="F20" s="131">
        <f t="shared" si="0"/>
        <v>712805.72354590322</v>
      </c>
      <c r="G20" s="132">
        <f>G14+G19</f>
        <v>45668491</v>
      </c>
      <c r="H20" s="131">
        <f t="shared" si="2"/>
        <v>69621.165716655203</v>
      </c>
      <c r="I20" s="133">
        <f>+E20/C20</f>
        <v>0.91101895056000248</v>
      </c>
    </row>
    <row r="21" spans="2:9" ht="26.5" thickBot="1" x14ac:dyDescent="0.4">
      <c r="B21" s="134" t="s">
        <v>50</v>
      </c>
      <c r="C21" s="135">
        <v>0</v>
      </c>
      <c r="D21" s="135">
        <f t="shared" si="0"/>
        <v>0</v>
      </c>
      <c r="E21" s="136">
        <v>0</v>
      </c>
      <c r="F21" s="135">
        <f t="shared" si="0"/>
        <v>0</v>
      </c>
      <c r="G21" s="137"/>
      <c r="H21" s="135">
        <f t="shared" si="2"/>
        <v>0</v>
      </c>
      <c r="I21" s="138"/>
    </row>
    <row r="22" spans="2:9" s="113" customFormat="1" ht="15" thickBot="1" x14ac:dyDescent="0.4">
      <c r="B22" s="130" t="s">
        <v>51</v>
      </c>
      <c r="C22" s="131">
        <f>C20+C21</f>
        <v>513238395</v>
      </c>
      <c r="D22" s="131">
        <f t="shared" si="0"/>
        <v>782426.88926255843</v>
      </c>
      <c r="E22" s="131">
        <f>E20+E21</f>
        <v>467569904</v>
      </c>
      <c r="F22" s="131">
        <f t="shared" si="0"/>
        <v>712805.72354590322</v>
      </c>
      <c r="G22" s="132">
        <f t="shared" ref="G22" si="4">G20+G21</f>
        <v>45668491</v>
      </c>
      <c r="H22" s="131">
        <f t="shared" si="2"/>
        <v>69621.165716655203</v>
      </c>
      <c r="I22" s="133">
        <f>+E22/C22</f>
        <v>0.91101895056000248</v>
      </c>
    </row>
    <row r="23" spans="2:9" ht="26.5" thickBot="1" x14ac:dyDescent="0.4">
      <c r="B23" s="134" t="s">
        <v>196</v>
      </c>
      <c r="C23" s="135">
        <f>+C22*0.07</f>
        <v>35926687.650000006</v>
      </c>
      <c r="D23" s="135">
        <f t="shared" si="0"/>
        <v>54769.882248379094</v>
      </c>
      <c r="E23" s="135">
        <f>+E22*0.07</f>
        <v>32729893.280000005</v>
      </c>
      <c r="F23" s="135">
        <f t="shared" si="0"/>
        <v>49896.400648213232</v>
      </c>
      <c r="G23" s="139">
        <f>C23-E23</f>
        <v>3196794.370000001</v>
      </c>
      <c r="H23" s="135">
        <f t="shared" si="2"/>
        <v>4873.4816001658664</v>
      </c>
      <c r="I23" s="125">
        <f>+E23/C23</f>
        <v>0.91101895056000237</v>
      </c>
    </row>
    <row r="24" spans="2:9" s="113" customFormat="1" ht="15" thickBot="1" x14ac:dyDescent="0.4">
      <c r="B24" s="130" t="s">
        <v>53</v>
      </c>
      <c r="C24" s="131">
        <f>C22+C23</f>
        <v>549165082.64999998</v>
      </c>
      <c r="D24" s="131">
        <f t="shared" si="0"/>
        <v>837196.77151093748</v>
      </c>
      <c r="E24" s="131">
        <f>E22+E23</f>
        <v>500299797.28000003</v>
      </c>
      <c r="F24" s="131">
        <f t="shared" si="0"/>
        <v>762702.12419411645</v>
      </c>
      <c r="G24" s="132">
        <f t="shared" ref="G24" si="5">G22+G23</f>
        <v>48865285.370000005</v>
      </c>
      <c r="H24" s="131">
        <f t="shared" si="2"/>
        <v>74494.64731682108</v>
      </c>
      <c r="I24" s="133">
        <f>+E24/C24</f>
        <v>0.91101895056000248</v>
      </c>
    </row>
    <row r="25" spans="2:9" s="113" customFormat="1" x14ac:dyDescent="0.35">
      <c r="B25" s="140" t="s">
        <v>54</v>
      </c>
      <c r="C25" s="141"/>
      <c r="D25" s="141">
        <f t="shared" si="0"/>
        <v>0</v>
      </c>
      <c r="E25" s="141"/>
      <c r="F25" s="141">
        <f t="shared" si="0"/>
        <v>0</v>
      </c>
      <c r="G25" s="142"/>
      <c r="H25" s="141">
        <f t="shared" si="2"/>
        <v>0</v>
      </c>
      <c r="I25" s="143">
        <v>0</v>
      </c>
    </row>
    <row r="26" spans="2:9" s="113" customFormat="1" ht="15" thickBot="1" x14ac:dyDescent="0.4">
      <c r="B26" s="144" t="s">
        <v>55</v>
      </c>
      <c r="C26" s="145"/>
      <c r="D26" s="145">
        <f t="shared" si="0"/>
        <v>0</v>
      </c>
      <c r="E26" s="145"/>
      <c r="F26" s="145">
        <f t="shared" si="0"/>
        <v>0</v>
      </c>
      <c r="G26" s="146"/>
      <c r="H26" s="145">
        <f t="shared" si="2"/>
        <v>0</v>
      </c>
      <c r="I26" s="147">
        <v>0</v>
      </c>
    </row>
    <row r="27" spans="2:9" s="113" customFormat="1" ht="24" thickBot="1" x14ac:dyDescent="0.4">
      <c r="B27" s="130" t="s">
        <v>56</v>
      </c>
      <c r="C27" s="131">
        <f t="shared" ref="C27:G27" si="6">+C24</f>
        <v>549165082.64999998</v>
      </c>
      <c r="D27" s="131">
        <f t="shared" ref="D27:F27" si="7">C27/655.957</f>
        <v>837196.77151093748</v>
      </c>
      <c r="E27" s="131">
        <f t="shared" si="6"/>
        <v>500299797.28000003</v>
      </c>
      <c r="F27" s="131">
        <f t="shared" si="7"/>
        <v>762702.12419411645</v>
      </c>
      <c r="G27" s="132">
        <f t="shared" si="6"/>
        <v>48865285.370000005</v>
      </c>
      <c r="H27" s="131">
        <f t="shared" si="2"/>
        <v>74494.64731682108</v>
      </c>
      <c r="I27" s="148">
        <f>+E27/C27</f>
        <v>0.91101895056000248</v>
      </c>
    </row>
  </sheetData>
  <mergeCells count="4">
    <mergeCell ref="C7:D7"/>
    <mergeCell ref="E7:F7"/>
    <mergeCell ref="G7:H7"/>
    <mergeCell ref="I7:I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568CC-8C2C-46AF-8520-90A146059CC2}">
  <sheetPr>
    <pageSetUpPr fitToPage="1"/>
  </sheetPr>
  <dimension ref="B2:F44"/>
  <sheetViews>
    <sheetView workbookViewId="0">
      <selection activeCell="B11" sqref="B11"/>
    </sheetView>
  </sheetViews>
  <sheetFormatPr baseColWidth="10" defaultColWidth="10.81640625" defaultRowHeight="15.5" x14ac:dyDescent="0.35"/>
  <cols>
    <col min="1" max="1" width="9.7265625" style="167" customWidth="1"/>
    <col min="2" max="2" width="63.7265625" style="167" customWidth="1"/>
    <col min="3" max="3" width="19.453125" style="166" customWidth="1"/>
    <col min="4" max="4" width="18.36328125" style="166" customWidth="1"/>
    <col min="5" max="5" width="10.81640625" style="167"/>
    <col min="6" max="6" width="12.54296875" style="167" bestFit="1" customWidth="1"/>
    <col min="7" max="16384" width="10.81640625" style="167"/>
  </cols>
  <sheetData>
    <row r="2" spans="2:4" x14ac:dyDescent="0.35">
      <c r="B2" s="165" t="s">
        <v>0</v>
      </c>
    </row>
    <row r="4" spans="2:4" x14ac:dyDescent="0.35">
      <c r="B4" s="168" t="s">
        <v>197</v>
      </c>
      <c r="C4" s="168"/>
      <c r="D4" s="168"/>
    </row>
    <row r="5" spans="2:4" ht="16" thickBot="1" x14ac:dyDescent="0.4"/>
    <row r="6" spans="2:4" s="165" customFormat="1" x14ac:dyDescent="0.35">
      <c r="B6" s="169" t="s">
        <v>198</v>
      </c>
      <c r="C6" s="170" t="s">
        <v>199</v>
      </c>
      <c r="D6" s="171"/>
    </row>
    <row r="7" spans="2:4" s="165" customFormat="1" x14ac:dyDescent="0.35">
      <c r="B7" s="172"/>
      <c r="C7" s="173" t="s">
        <v>177</v>
      </c>
      <c r="D7" s="174" t="s">
        <v>200</v>
      </c>
    </row>
    <row r="8" spans="2:4" s="165" customFormat="1" x14ac:dyDescent="0.35">
      <c r="B8" s="175" t="s">
        <v>201</v>
      </c>
      <c r="C8" s="176">
        <v>285219780</v>
      </c>
      <c r="D8" s="177">
        <f>+C8/655.957</f>
        <v>434814.75157670397</v>
      </c>
    </row>
    <row r="9" spans="2:4" x14ac:dyDescent="0.35">
      <c r="B9" s="178"/>
      <c r="C9" s="179"/>
      <c r="D9" s="177" t="s">
        <v>0</v>
      </c>
    </row>
    <row r="10" spans="2:4" s="165" customFormat="1" x14ac:dyDescent="0.35">
      <c r="B10" s="175" t="s">
        <v>202</v>
      </c>
      <c r="C10" s="177">
        <f>SUM(C11)</f>
        <v>430074271.30799997</v>
      </c>
      <c r="D10" s="177">
        <f>SUM(D11)</f>
        <v>655644</v>
      </c>
    </row>
    <row r="11" spans="2:4" ht="16" x14ac:dyDescent="0.4">
      <c r="B11" s="180" t="s">
        <v>203</v>
      </c>
      <c r="C11" s="181">
        <f>+D11*655.957</f>
        <v>430074271.30799997</v>
      </c>
      <c r="D11" s="182">
        <f>405644+250000</f>
        <v>655644</v>
      </c>
    </row>
    <row r="12" spans="2:4" ht="16" x14ac:dyDescent="0.4">
      <c r="B12" s="180"/>
      <c r="C12" s="179"/>
      <c r="D12" s="182"/>
    </row>
    <row r="13" spans="2:4" s="165" customFormat="1" x14ac:dyDescent="0.35">
      <c r="B13" s="175" t="s">
        <v>204</v>
      </c>
      <c r="C13" s="176">
        <f>+C8+C10</f>
        <v>715294051.30799997</v>
      </c>
      <c r="D13" s="177">
        <f>+C13/655.957</f>
        <v>1090458.751576704</v>
      </c>
    </row>
    <row r="14" spans="2:4" x14ac:dyDescent="0.35">
      <c r="B14" s="178"/>
      <c r="C14" s="179"/>
      <c r="D14" s="177" t="s">
        <v>0</v>
      </c>
    </row>
    <row r="15" spans="2:4" s="165" customFormat="1" x14ac:dyDescent="0.35">
      <c r="B15" s="175" t="s">
        <v>205</v>
      </c>
      <c r="C15" s="176">
        <f>SUM(C16:C25)</f>
        <v>500299797.28000003</v>
      </c>
      <c r="D15" s="177">
        <f>+C15/655.957</f>
        <v>762702.12419411645</v>
      </c>
    </row>
    <row r="16" spans="2:4" s="165" customFormat="1" ht="16" x14ac:dyDescent="0.4">
      <c r="B16" s="183" t="s">
        <v>9</v>
      </c>
      <c r="C16" s="184">
        <v>65430928</v>
      </c>
      <c r="D16" s="182">
        <f>+C16/655.957</f>
        <v>99748.806705317576</v>
      </c>
    </row>
    <row r="17" spans="2:6" s="165" customFormat="1" ht="16" x14ac:dyDescent="0.4">
      <c r="B17" s="183" t="s">
        <v>24</v>
      </c>
      <c r="C17" s="184">
        <v>3883306</v>
      </c>
      <c r="D17" s="182">
        <f t="shared" ref="D17:D19" si="0">+C17/655.957</f>
        <v>5920.0618333213915</v>
      </c>
      <c r="F17" s="185" t="s">
        <v>0</v>
      </c>
    </row>
    <row r="18" spans="2:6" s="165" customFormat="1" ht="16" x14ac:dyDescent="0.4">
      <c r="B18" s="183" t="s">
        <v>206</v>
      </c>
      <c r="C18" s="184">
        <v>9277456</v>
      </c>
      <c r="D18" s="182">
        <f t="shared" si="0"/>
        <v>14143.390496633163</v>
      </c>
    </row>
    <row r="19" spans="2:6" s="165" customFormat="1" ht="16" x14ac:dyDescent="0.4">
      <c r="B19" s="183" t="s">
        <v>91</v>
      </c>
      <c r="C19" s="184">
        <v>5537831</v>
      </c>
      <c r="D19" s="182">
        <f t="shared" si="0"/>
        <v>8442.3689357686562</v>
      </c>
    </row>
    <row r="20" spans="2:6" s="165" customFormat="1" ht="16" x14ac:dyDescent="0.4">
      <c r="B20" s="183" t="s">
        <v>193</v>
      </c>
      <c r="C20" s="184">
        <v>1882000</v>
      </c>
      <c r="D20" s="182"/>
    </row>
    <row r="21" spans="2:6" s="165" customFormat="1" ht="16" x14ac:dyDescent="0.4">
      <c r="B21" s="183" t="s">
        <v>194</v>
      </c>
      <c r="C21" s="184">
        <v>19453668</v>
      </c>
      <c r="D21" s="182">
        <f>+C20/655.957</f>
        <v>2869.0905044080632</v>
      </c>
      <c r="F21" s="185" t="s">
        <v>0</v>
      </c>
    </row>
    <row r="22" spans="2:6" s="165" customFormat="1" ht="48" x14ac:dyDescent="0.4">
      <c r="B22" s="183" t="s">
        <v>207</v>
      </c>
      <c r="C22" s="184">
        <v>177062075</v>
      </c>
      <c r="D22" s="186">
        <f>+C21/655.957</f>
        <v>29656.925682628585</v>
      </c>
    </row>
    <row r="23" spans="2:6" s="165" customFormat="1" ht="32" x14ac:dyDescent="0.4">
      <c r="B23" s="183" t="s">
        <v>208</v>
      </c>
      <c r="C23" s="184">
        <v>36720727</v>
      </c>
      <c r="D23" s="186">
        <f>+C22/655.957</f>
        <v>269929.39323766652</v>
      </c>
    </row>
    <row r="24" spans="2:6" s="165" customFormat="1" ht="48" x14ac:dyDescent="0.4">
      <c r="B24" s="183" t="s">
        <v>209</v>
      </c>
      <c r="C24" s="184">
        <v>148321913</v>
      </c>
      <c r="D24" s="186">
        <f>+C23/655.957</f>
        <v>55980.38743393241</v>
      </c>
    </row>
    <row r="25" spans="2:6" s="165" customFormat="1" ht="32" x14ac:dyDescent="0.4">
      <c r="B25" s="183" t="s">
        <v>52</v>
      </c>
      <c r="C25" s="184">
        <v>32729893.280000005</v>
      </c>
      <c r="D25" s="186">
        <f>+C24/655.957</f>
        <v>226115.29871622683</v>
      </c>
    </row>
    <row r="26" spans="2:6" s="165" customFormat="1" ht="16" thickBot="1" x14ac:dyDescent="0.4">
      <c r="B26" s="187" t="s">
        <v>210</v>
      </c>
      <c r="C26" s="188">
        <f>+C13-C15</f>
        <v>214994254.02799994</v>
      </c>
      <c r="D26" s="189">
        <f>+C26/655.957</f>
        <v>327756.62738258747</v>
      </c>
    </row>
    <row r="27" spans="2:6" hidden="1" x14ac:dyDescent="0.35">
      <c r="B27" s="190" t="s">
        <v>211</v>
      </c>
      <c r="C27" s="179"/>
      <c r="D27" s="191"/>
    </row>
    <row r="28" spans="2:6" hidden="1" x14ac:dyDescent="0.35">
      <c r="B28" s="192" t="s">
        <v>212</v>
      </c>
      <c r="C28" s="179"/>
      <c r="D28" s="182"/>
    </row>
    <row r="29" spans="2:6" hidden="1" x14ac:dyDescent="0.35">
      <c r="B29" s="192" t="s">
        <v>213</v>
      </c>
      <c r="C29" s="179"/>
      <c r="D29" s="182"/>
    </row>
    <row r="30" spans="2:6" hidden="1" x14ac:dyDescent="0.35">
      <c r="B30" s="192" t="s">
        <v>214</v>
      </c>
      <c r="C30" s="179"/>
      <c r="D30" s="182"/>
    </row>
    <row r="31" spans="2:6" hidden="1" x14ac:dyDescent="0.35">
      <c r="B31" s="193" t="s">
        <v>215</v>
      </c>
      <c r="C31" s="194"/>
      <c r="D31" s="195"/>
    </row>
    <row r="32" spans="2:6" ht="16" hidden="1" thickBot="1" x14ac:dyDescent="0.4">
      <c r="B32" s="196" t="s">
        <v>216</v>
      </c>
      <c r="C32" s="197"/>
      <c r="D32" s="198"/>
    </row>
    <row r="33" spans="2:6" ht="16" hidden="1" x14ac:dyDescent="0.4">
      <c r="B33" s="199" t="s">
        <v>217</v>
      </c>
      <c r="C33" s="200"/>
      <c r="D33" s="201"/>
    </row>
    <row r="34" spans="2:6" ht="16" hidden="1" x14ac:dyDescent="0.4">
      <c r="B34" s="180" t="s">
        <v>218</v>
      </c>
      <c r="C34" s="200"/>
      <c r="D34" s="202"/>
      <c r="F34" s="203"/>
    </row>
    <row r="35" spans="2:6" ht="16.5" hidden="1" thickBot="1" x14ac:dyDescent="0.45">
      <c r="B35" s="204" t="s">
        <v>219</v>
      </c>
      <c r="C35" s="205"/>
      <c r="D35" s="206"/>
    </row>
    <row r="36" spans="2:6" x14ac:dyDescent="0.35">
      <c r="B36"/>
    </row>
    <row r="38" spans="2:6" x14ac:dyDescent="0.35">
      <c r="B38" s="207" t="s">
        <v>220</v>
      </c>
      <c r="C38" s="167"/>
      <c r="D38" s="167"/>
    </row>
    <row r="39" spans="2:6" x14ac:dyDescent="0.35">
      <c r="B39" s="208" t="s">
        <v>221</v>
      </c>
      <c r="C39" s="167"/>
      <c r="D39" s="167"/>
    </row>
    <row r="40" spans="2:6" x14ac:dyDescent="0.35">
      <c r="B40" s="208"/>
      <c r="C40" s="167"/>
      <c r="D40" s="167"/>
    </row>
    <row r="41" spans="2:6" x14ac:dyDescent="0.35">
      <c r="B41" s="208"/>
      <c r="C41" s="167"/>
      <c r="D41" s="167"/>
    </row>
    <row r="42" spans="2:6" x14ac:dyDescent="0.35">
      <c r="B42" s="209"/>
      <c r="C42" s="167"/>
      <c r="D42" s="167"/>
    </row>
    <row r="43" spans="2:6" x14ac:dyDescent="0.35">
      <c r="B43" s="209"/>
      <c r="C43" s="167"/>
      <c r="D43" s="167"/>
    </row>
    <row r="44" spans="2:6" x14ac:dyDescent="0.35">
      <c r="B44" s="210" t="s">
        <v>222</v>
      </c>
      <c r="C44" s="167"/>
      <c r="D44" s="167"/>
    </row>
  </sheetData>
  <mergeCells count="3">
    <mergeCell ref="B4:D4"/>
    <mergeCell ref="B6:B7"/>
    <mergeCell ref="C6:D6"/>
  </mergeCells>
  <hyperlinks>
    <hyperlink ref="B22" r:id="rId1" display="http://www.portailpartispolitiques.bj/" xr:uid="{B396C1B1-711F-4F8C-95B5-A4CE77D34B70}"/>
  </hyperlinks>
  <pageMargins left="0.25" right="0.25" top="0.75" bottom="0.75" header="0.3" footer="0.3"/>
  <pageSetup paperSize="9" scale="73"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9D2034BB22E044AA64F2E94B901AF7F" ma:contentTypeVersion="2" ma:contentTypeDescription="Een nieuw document maken." ma:contentTypeScope="" ma:versionID="199ede9b408d0241bcb2d2b083fcca08">
  <xsd:schema xmlns:xsd="http://www.w3.org/2001/XMLSchema" xmlns:xs="http://www.w3.org/2001/XMLSchema" xmlns:p="http://schemas.microsoft.com/office/2006/metadata/properties" xmlns:ns3="65b80d2c-c0af-4c0a-a503-316d2bf02b63" targetNamespace="http://schemas.microsoft.com/office/2006/metadata/properties" ma:root="true" ma:fieldsID="c2ae865868b5bc61ab3b3616dfed7d4b" ns3:_="">
    <xsd:import namespace="65b80d2c-c0af-4c0a-a503-316d2bf02b63"/>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b80d2c-c0af-4c0a-a503-316d2bf02b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EA0DD3-E192-4714-9326-207F56DAAA56}">
  <ds:schemaRefs>
    <ds:schemaRef ds:uri="http://purl.org/dc/elements/1.1/"/>
    <ds:schemaRef ds:uri="http://schemas.microsoft.com/office/2006/metadata/propertie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www.w3.org/XML/1998/namespace"/>
    <ds:schemaRef ds:uri="http://purl.org/dc/terms/"/>
    <ds:schemaRef ds:uri="65b80d2c-c0af-4c0a-a503-316d2bf02b63"/>
  </ds:schemaRefs>
</ds:datastoreItem>
</file>

<file path=customXml/itemProps2.xml><?xml version="1.0" encoding="utf-8"?>
<ds:datastoreItem xmlns:ds="http://schemas.openxmlformats.org/officeDocument/2006/customXml" ds:itemID="{36A64D25-6C6B-44CC-A947-98747501D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b80d2c-c0af-4c0a-a503-316d2bf02b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E595FE3-5CA2-41C5-9113-8C7856A13B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4</vt:i4>
      </vt:variant>
      <vt:variant>
        <vt:lpstr>Plages nommées</vt:lpstr>
      </vt:variant>
      <vt:variant>
        <vt:i4>4</vt:i4>
      </vt:variant>
    </vt:vector>
  </HeadingPairs>
  <TitlesOfParts>
    <vt:vector size="8" baseType="lpstr">
      <vt:lpstr>Rapport Financier 2024</vt:lpstr>
      <vt:lpstr>Rapport jusqu'à 31.12.2024</vt:lpstr>
      <vt:lpstr>DEPENSES 2024 PAR RUBRIQUES</vt:lpstr>
      <vt:lpstr>FAS</vt:lpstr>
      <vt:lpstr>'Rapport Financier 2024'!Impression_des_titres</vt:lpstr>
      <vt:lpstr>'Rapport jusqu''à 31.12.2024'!Impression_des_titres</vt:lpstr>
      <vt:lpstr>'Rapport Financier 2024'!Zone_d_impression</vt:lpstr>
      <vt:lpstr>'Rapport jusqu''à 31.12.2024'!Zone_d_impression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Christiaanse</dc:creator>
  <cp:lastModifiedBy>HP</cp:lastModifiedBy>
  <cp:lastPrinted>2025-03-12T16:27:59Z</cp:lastPrinted>
  <dcterms:created xsi:type="dcterms:W3CDTF">2023-07-21T07:56:33Z</dcterms:created>
  <dcterms:modified xsi:type="dcterms:W3CDTF">2025-03-21T09:27:49Z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0x010100E9D2034BB22E044AA64F2E94B901AF7F</vt:lpwstr>
  </property>
</Properties>
</file>