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nstitutional\Dialogue for Stability (DfS)\DfS 2016-2020\Reporting\Annual Report 2020\Final report\"/>
    </mc:Choice>
  </mc:AlternateContent>
  <bookViews>
    <workbookView xWindow="0" yWindow="0" windowWidth="24000" windowHeight="9600" activeTab="1"/>
  </bookViews>
  <sheets>
    <sheet name="Financial Report DfS 2020" sheetId="1" r:id="rId1"/>
    <sheet name="Financial Report DfS 2016-2020" sheetId="2" r:id="rId2"/>
  </sheets>
  <externalReferences>
    <externalReference r:id="rId3"/>
    <externalReference r:id="rId4"/>
    <externalReference r:id="rId5"/>
    <externalReference r:id="rId6"/>
    <externalReference r:id="rId7"/>
    <externalReference r:id="rId8"/>
  </externalReferences>
  <definedNames>
    <definedName name="_c" localSheetId="1">#REF!</definedName>
    <definedName name="_c" localSheetId="0">#REF!</definedName>
    <definedName name="_c">#REF!</definedName>
    <definedName name="e">'[1]- 3.7 Mozambique'!$2:$4</definedName>
    <definedName name="ENG_BI_CORE_LOCATION">"C:\Pastel12\"</definedName>
    <definedName name="ENG_BI_LBI" hidden="1">"EB2HA3EL88"</definedName>
    <definedName name="ENG_BI_TLA" hidden="1">"135;255;16;187;75;236;23;130;176;165;195;65;49;195;251;51;114;78;209;190;104;160;252;29;75;169;264;135;205;199;267;270"</definedName>
    <definedName name="ENG_BI_TLA2" hidden="1">"102;168;7;98;173;209;193;164;218;209;140;208;104;226;7;223;251;83;202;187;158;215;124;182;67;117;46;36;122;135;176;131"</definedName>
    <definedName name="INFO_BI_EXE_NAME" hidden="1">"BICPARTNERV12.EXE"</definedName>
    <definedName name="INFO_EXE_SERVER_PATH" hidden="1">"C:\Pastel12\BICPARTNERV12.EXE"</definedName>
    <definedName name="INFO_INSTANCE_ID" hidden="1">"0"</definedName>
    <definedName name="INFO_INSTANCE_NAME" hidden="1">"Project Budget _20150213_21_18_07_1818.xls"</definedName>
    <definedName name="INFO_REPORT_CODE" hidden="1">"P10-FI01-2-1"</definedName>
    <definedName name="INFO_REPORT_ID" hidden="1">"4"</definedName>
    <definedName name="INFO_REPORT_NAME" hidden="1">"Project Budget "</definedName>
    <definedName name="INFO_RUN_USER" hidden="1">""</definedName>
    <definedName name="INFO_RUN_WORKSTATION" hidden="1">"HP-HP"</definedName>
    <definedName name="LayoutNumPeriods">[2]Lookup!$A$3</definedName>
    <definedName name="_xlnm.Print_Area" localSheetId="1">'Financial Report DfS 2016-2020'!$A$1:$AF$170</definedName>
    <definedName name="_xlnm.Print_Area" localSheetId="0">'Financial Report DfS 2020'!$A$1:$K$168</definedName>
    <definedName name="Retained_Earnings">[2]Date_Lup!$D$24</definedName>
    <definedName name="Schaal">[3]Salaristabel!$A$4:$A$22</definedName>
    <definedName name="SelectedDate">[2]Lookup!$A$1</definedName>
    <definedName name="Status">'[4]Support sheet'!$A$87:$A$88</definedName>
    <definedName name="SV_DBTYPE">"-1"</definedName>
    <definedName name="SV_ENCPT_LOGON_PWD" hidden="1">"078104085088070"</definedName>
    <definedName name="SV_ENCPT_LOGON_USER" hidden="1">"095094088070084"</definedName>
    <definedName name="SV_PAS_PastelCompanyPath" hidden="1">"C:\PASTEL12\NIMD2014"</definedName>
    <definedName name="SV_PAS_PastelDatabase" hidden="1">"PAS12NIMD2014"</definedName>
    <definedName name="SV_PAS_PervasiveServer" hidden="1">"HP-HP"</definedName>
    <definedName name="SV_REPORT_CODE">"P10-FI01-2-1"</definedName>
    <definedName name="SV_REPORT_ID">"4"</definedName>
    <definedName name="SV_REPORT_NAME">"Project Budget "</definedName>
    <definedName name="SV_REPOSCODE">""</definedName>
    <definedName name="SV_SOLUTION_ID">"38"</definedName>
    <definedName name="SV_TENANT_CODE">""</definedName>
    <definedName name="Table2019">[5]!Table1[#Data]</definedName>
    <definedName name="Toolbox_Code" localSheetId="1">'[6]DFS Activity Plan - Oct 17'!#REF!</definedName>
    <definedName name="Toolbox_Code" localSheetId="0">'[6]DFS Activity Plan - Oct 17'!#REF!</definedName>
    <definedName name="Toolbox_Code">'[6]DFS Activity Plan - Oct 17'!#REF!</definedName>
    <definedName name="Trede">[3]Salaristabel!$B$3:$P$3</definedName>
    <definedName name="valuevx">42.314159</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1" i="2" l="1"/>
  <c r="K171" i="2"/>
  <c r="F171" i="2"/>
  <c r="W168" i="2"/>
  <c r="V168" i="2"/>
  <c r="Z168" i="2" s="1"/>
  <c r="T168" i="2"/>
  <c r="S168" i="2"/>
  <c r="R168" i="2"/>
  <c r="Q168" i="2"/>
  <c r="O168" i="2"/>
  <c r="N168" i="2"/>
  <c r="M168" i="2"/>
  <c r="L168" i="2"/>
  <c r="I168" i="2"/>
  <c r="H168" i="2"/>
  <c r="G168" i="2"/>
  <c r="D168" i="2"/>
  <c r="E168" i="2" s="1"/>
  <c r="C168" i="2"/>
  <c r="AD167" i="2"/>
  <c r="AC167" i="2"/>
  <c r="AB167" i="2"/>
  <c r="AD166" i="2"/>
  <c r="AC166" i="2"/>
  <c r="AD165" i="2"/>
  <c r="AB165" i="2"/>
  <c r="AB168" i="2" s="1"/>
  <c r="X160" i="2"/>
  <c r="W160" i="2"/>
  <c r="V160" i="2"/>
  <c r="Z160" i="2" s="1"/>
  <c r="S160" i="2"/>
  <c r="R160" i="2"/>
  <c r="Q160" i="2"/>
  <c r="N160" i="2"/>
  <c r="N162" i="2" s="1"/>
  <c r="M160" i="2"/>
  <c r="L160" i="2"/>
  <c r="I160" i="2"/>
  <c r="H160" i="2"/>
  <c r="H162" i="2" s="1"/>
  <c r="G160" i="2"/>
  <c r="D160" i="2"/>
  <c r="C160" i="2"/>
  <c r="AD159" i="2"/>
  <c r="AD160" i="2" s="1"/>
  <c r="AC159" i="2"/>
  <c r="AC160" i="2" s="1"/>
  <c r="AB159" i="2"/>
  <c r="X156" i="2"/>
  <c r="W156" i="2"/>
  <c r="V156" i="2"/>
  <c r="S156" i="2"/>
  <c r="R156" i="2"/>
  <c r="T156" i="2" s="1"/>
  <c r="Q156" i="2"/>
  <c r="M156" i="2"/>
  <c r="O156" i="2" s="1"/>
  <c r="L156" i="2"/>
  <c r="I156" i="2"/>
  <c r="H156" i="2"/>
  <c r="G156" i="2"/>
  <c r="J156" i="2" s="1"/>
  <c r="D156" i="2"/>
  <c r="C156" i="2"/>
  <c r="E156" i="2" s="1"/>
  <c r="AD155" i="2"/>
  <c r="AC155" i="2"/>
  <c r="AB155" i="2"/>
  <c r="AD154" i="2"/>
  <c r="AC154" i="2"/>
  <c r="AB154" i="2"/>
  <c r="AD153" i="2"/>
  <c r="AC153" i="2"/>
  <c r="AB153" i="2"/>
  <c r="AD152" i="2"/>
  <c r="AC152" i="2"/>
  <c r="AB152" i="2"/>
  <c r="AD149" i="2"/>
  <c r="X149" i="2"/>
  <c r="X162" i="2" s="1"/>
  <c r="W149" i="2"/>
  <c r="W162" i="2" s="1"/>
  <c r="V149" i="2"/>
  <c r="Z149" i="2" s="1"/>
  <c r="S149" i="2"/>
  <c r="R149" i="2"/>
  <c r="R162" i="2" s="1"/>
  <c r="Q149" i="2"/>
  <c r="M149" i="2"/>
  <c r="O149" i="2" s="1"/>
  <c r="L149" i="2"/>
  <c r="L162" i="2" s="1"/>
  <c r="I149" i="2"/>
  <c r="I162" i="2" s="1"/>
  <c r="H149" i="2"/>
  <c r="G149" i="2"/>
  <c r="D149" i="2"/>
  <c r="D162" i="2" s="1"/>
  <c r="C149" i="2"/>
  <c r="AD148" i="2"/>
  <c r="AC148" i="2"/>
  <c r="AB148" i="2"/>
  <c r="AD147" i="2"/>
  <c r="AC147" i="2"/>
  <c r="AB147" i="2"/>
  <c r="L143" i="2"/>
  <c r="X141" i="2"/>
  <c r="W141" i="2"/>
  <c r="Z141" i="2" s="1"/>
  <c r="S141" i="2"/>
  <c r="R141" i="2"/>
  <c r="N141" i="2"/>
  <c r="N143" i="2" s="1"/>
  <c r="M141" i="2"/>
  <c r="I141" i="2"/>
  <c r="J141" i="2" s="1"/>
  <c r="H141" i="2"/>
  <c r="E141" i="2"/>
  <c r="D141" i="2"/>
  <c r="C141" i="2"/>
  <c r="AB141" i="2" s="1"/>
  <c r="AD140" i="2"/>
  <c r="AC140" i="2"/>
  <c r="AD139" i="2"/>
  <c r="AC139" i="2"/>
  <c r="Z137" i="2"/>
  <c r="X137" i="2"/>
  <c r="W137" i="2"/>
  <c r="S137" i="2"/>
  <c r="S143" i="2" s="1"/>
  <c r="T143" i="2" s="1"/>
  <c r="R137" i="2"/>
  <c r="R143" i="2" s="1"/>
  <c r="M137" i="2"/>
  <c r="M143" i="2" s="1"/>
  <c r="O143" i="2" s="1"/>
  <c r="I137" i="2"/>
  <c r="I143" i="2" s="1"/>
  <c r="H137" i="2"/>
  <c r="D137" i="2"/>
  <c r="D143" i="2" s="1"/>
  <c r="AD136" i="2"/>
  <c r="AC136" i="2"/>
  <c r="AB136" i="2"/>
  <c r="AD135" i="2"/>
  <c r="AC135" i="2"/>
  <c r="V135" i="2"/>
  <c r="V137" i="2" s="1"/>
  <c r="V143" i="2" s="1"/>
  <c r="Q135" i="2"/>
  <c r="Q137" i="2" s="1"/>
  <c r="Q143" i="2" s="1"/>
  <c r="L135" i="2"/>
  <c r="L137" i="2" s="1"/>
  <c r="G135" i="2"/>
  <c r="G137" i="2" s="1"/>
  <c r="C135" i="2"/>
  <c r="C137" i="2" s="1"/>
  <c r="C143" i="2" s="1"/>
  <c r="E143" i="2" s="1"/>
  <c r="X130" i="2"/>
  <c r="W130" i="2"/>
  <c r="V130" i="2"/>
  <c r="AB130" i="2" s="1"/>
  <c r="S130" i="2"/>
  <c r="R130" i="2"/>
  <c r="T130" i="2" s="1"/>
  <c r="O130" i="2"/>
  <c r="N130" i="2"/>
  <c r="AD130" i="2" s="1"/>
  <c r="AD129" i="2"/>
  <c r="AC129" i="2"/>
  <c r="AC130" i="2" s="1"/>
  <c r="AB129" i="2"/>
  <c r="X126" i="2"/>
  <c r="W126" i="2"/>
  <c r="S126" i="2"/>
  <c r="R126" i="2"/>
  <c r="N126" i="2"/>
  <c r="M126" i="2"/>
  <c r="O126" i="2" s="1"/>
  <c r="I126" i="2"/>
  <c r="H126" i="2"/>
  <c r="D126" i="2"/>
  <c r="AD125" i="2"/>
  <c r="AC125" i="2"/>
  <c r="V125" i="2"/>
  <c r="Q125" i="2"/>
  <c r="L125" i="2"/>
  <c r="L126" i="2" s="1"/>
  <c r="G125" i="2"/>
  <c r="C125" i="2"/>
  <c r="AD124" i="2"/>
  <c r="AC124" i="2"/>
  <c r="AC126" i="2" s="1"/>
  <c r="V124" i="2"/>
  <c r="V126" i="2" s="1"/>
  <c r="Q124" i="2"/>
  <c r="Q126" i="2" s="1"/>
  <c r="L124" i="2"/>
  <c r="G124" i="2"/>
  <c r="G126" i="2" s="1"/>
  <c r="J126" i="2" s="1"/>
  <c r="C124" i="2"/>
  <c r="C126" i="2" s="1"/>
  <c r="E126" i="2" s="1"/>
  <c r="N121" i="2"/>
  <c r="L121" i="2"/>
  <c r="G121" i="2"/>
  <c r="AD120" i="2"/>
  <c r="AC120" i="2"/>
  <c r="AB120" i="2"/>
  <c r="X119" i="2"/>
  <c r="X121" i="2" s="1"/>
  <c r="W119" i="2"/>
  <c r="W121" i="2" s="1"/>
  <c r="V119" i="2"/>
  <c r="V121" i="2" s="1"/>
  <c r="Z121" i="2" s="1"/>
  <c r="T119" i="2"/>
  <c r="S119" i="2"/>
  <c r="S121" i="2" s="1"/>
  <c r="R119" i="2"/>
  <c r="R121" i="2" s="1"/>
  <c r="Q119" i="2"/>
  <c r="Q121" i="2" s="1"/>
  <c r="O119" i="2"/>
  <c r="M119" i="2"/>
  <c r="M121" i="2" s="1"/>
  <c r="O121" i="2" s="1"/>
  <c r="L119" i="2"/>
  <c r="I119" i="2"/>
  <c r="I121" i="2" s="1"/>
  <c r="H119" i="2"/>
  <c r="H121" i="2" s="1"/>
  <c r="G119" i="2"/>
  <c r="J119" i="2" s="1"/>
  <c r="E119" i="2"/>
  <c r="E121" i="2" s="1"/>
  <c r="D119" i="2"/>
  <c r="D121" i="2" s="1"/>
  <c r="C119" i="2"/>
  <c r="C121" i="2" s="1"/>
  <c r="AD118" i="2"/>
  <c r="AC118" i="2"/>
  <c r="AB118" i="2"/>
  <c r="AD117" i="2"/>
  <c r="AC117" i="2"/>
  <c r="AB117" i="2"/>
  <c r="AD116" i="2"/>
  <c r="AC116" i="2"/>
  <c r="AB116" i="2"/>
  <c r="AD115" i="2"/>
  <c r="AC115" i="2"/>
  <c r="AB115" i="2"/>
  <c r="AD114" i="2"/>
  <c r="AC114" i="2"/>
  <c r="AB114" i="2"/>
  <c r="AD113" i="2"/>
  <c r="AC113" i="2"/>
  <c r="AB113" i="2"/>
  <c r="AD112" i="2"/>
  <c r="AC112" i="2"/>
  <c r="AB112" i="2"/>
  <c r="W109" i="2"/>
  <c r="N109" i="2"/>
  <c r="H109" i="2"/>
  <c r="C109" i="2"/>
  <c r="AD108" i="2"/>
  <c r="AC108" i="2"/>
  <c r="AB108" i="2"/>
  <c r="X107" i="2"/>
  <c r="X109" i="2" s="1"/>
  <c r="W107" i="2"/>
  <c r="V107" i="2"/>
  <c r="V109" i="2" s="1"/>
  <c r="T107" i="2"/>
  <c r="R107" i="2"/>
  <c r="R109" i="2" s="1"/>
  <c r="T109" i="2" s="1"/>
  <c r="Q107" i="2"/>
  <c r="Q109" i="2" s="1"/>
  <c r="M107" i="2"/>
  <c r="O107" i="2" s="1"/>
  <c r="L107" i="2"/>
  <c r="L109" i="2" s="1"/>
  <c r="I107" i="2"/>
  <c r="H107" i="2"/>
  <c r="G107" i="2"/>
  <c r="G109" i="2" s="1"/>
  <c r="E107" i="2"/>
  <c r="E109" i="2" s="1"/>
  <c r="D107" i="2"/>
  <c r="D109" i="2" s="1"/>
  <c r="C107" i="2"/>
  <c r="AD106" i="2"/>
  <c r="AC106" i="2"/>
  <c r="AB106" i="2"/>
  <c r="AD105" i="2"/>
  <c r="AC105" i="2"/>
  <c r="AB105" i="2"/>
  <c r="AD104" i="2"/>
  <c r="AC104" i="2"/>
  <c r="AB104" i="2"/>
  <c r="AD103" i="2"/>
  <c r="AC103" i="2"/>
  <c r="AB103" i="2"/>
  <c r="AD102" i="2"/>
  <c r="AC102" i="2"/>
  <c r="AB102" i="2"/>
  <c r="AD101" i="2"/>
  <c r="AC101" i="2"/>
  <c r="AC107" i="2" s="1"/>
  <c r="AC109" i="2" s="1"/>
  <c r="AB101" i="2"/>
  <c r="AD100" i="2"/>
  <c r="AC100" i="2"/>
  <c r="AB100" i="2"/>
  <c r="X97" i="2"/>
  <c r="N97" i="2"/>
  <c r="I97" i="2"/>
  <c r="AD96" i="2"/>
  <c r="AC96" i="2"/>
  <c r="AB96" i="2"/>
  <c r="X95" i="2"/>
  <c r="W95" i="2"/>
  <c r="W97" i="2" s="1"/>
  <c r="V95" i="2"/>
  <c r="V97" i="2" s="1"/>
  <c r="V70" i="2" s="1"/>
  <c r="S95" i="2"/>
  <c r="S97" i="2" s="1"/>
  <c r="R95" i="2"/>
  <c r="R97" i="2" s="1"/>
  <c r="T97" i="2" s="1"/>
  <c r="Q95" i="2"/>
  <c r="Q97" i="2" s="1"/>
  <c r="M95" i="2"/>
  <c r="M70" i="2" s="1"/>
  <c r="L95" i="2"/>
  <c r="L97" i="2" s="1"/>
  <c r="I95" i="2"/>
  <c r="H95" i="2"/>
  <c r="H70" i="2" s="1"/>
  <c r="G95" i="2"/>
  <c r="E95" i="2"/>
  <c r="E97" i="2" s="1"/>
  <c r="D95" i="2"/>
  <c r="D97" i="2" s="1"/>
  <c r="C95" i="2"/>
  <c r="C97" i="2" s="1"/>
  <c r="AD94" i="2"/>
  <c r="AC94" i="2"/>
  <c r="AB94" i="2"/>
  <c r="AD93" i="2"/>
  <c r="AC93" i="2"/>
  <c r="AB93" i="2"/>
  <c r="AD92" i="2"/>
  <c r="AC92" i="2"/>
  <c r="AB92" i="2"/>
  <c r="AD91" i="2"/>
  <c r="AC91" i="2"/>
  <c r="AB91" i="2"/>
  <c r="AD90" i="2"/>
  <c r="AC90" i="2"/>
  <c r="AB90" i="2"/>
  <c r="AD89" i="2"/>
  <c r="AC89" i="2"/>
  <c r="AB89" i="2"/>
  <c r="AD88" i="2"/>
  <c r="AC88" i="2"/>
  <c r="AB88" i="2"/>
  <c r="N85" i="2"/>
  <c r="L85" i="2"/>
  <c r="G85" i="2"/>
  <c r="AD84" i="2"/>
  <c r="AC84" i="2"/>
  <c r="AB84" i="2"/>
  <c r="X83" i="2"/>
  <c r="X85" i="2" s="1"/>
  <c r="W83" i="2"/>
  <c r="W85" i="2" s="1"/>
  <c r="V83" i="2"/>
  <c r="V85" i="2" s="1"/>
  <c r="T83" i="2"/>
  <c r="S83" i="2"/>
  <c r="S85" i="2" s="1"/>
  <c r="T85" i="2" s="1"/>
  <c r="R83" i="2"/>
  <c r="R85" i="2" s="1"/>
  <c r="Q83" i="2"/>
  <c r="Q85" i="2" s="1"/>
  <c r="O83" i="2"/>
  <c r="M83" i="2"/>
  <c r="M85" i="2" s="1"/>
  <c r="O85" i="2" s="1"/>
  <c r="L83" i="2"/>
  <c r="I83" i="2"/>
  <c r="I85" i="2" s="1"/>
  <c r="H83" i="2"/>
  <c r="H85" i="2" s="1"/>
  <c r="G83" i="2"/>
  <c r="J83" i="2" s="1"/>
  <c r="E83" i="2"/>
  <c r="E85" i="2" s="1"/>
  <c r="D83" i="2"/>
  <c r="D85" i="2" s="1"/>
  <c r="C83" i="2"/>
  <c r="C85" i="2" s="1"/>
  <c r="AD82" i="2"/>
  <c r="AC82" i="2"/>
  <c r="AB82" i="2"/>
  <c r="AD81" i="2"/>
  <c r="AC81" i="2"/>
  <c r="AB81" i="2"/>
  <c r="AD80" i="2"/>
  <c r="AC80" i="2"/>
  <c r="AB80" i="2"/>
  <c r="AD79" i="2"/>
  <c r="AC79" i="2"/>
  <c r="AB79" i="2"/>
  <c r="AD78" i="2"/>
  <c r="AC78" i="2"/>
  <c r="AB78" i="2"/>
  <c r="AD77" i="2"/>
  <c r="AC77" i="2"/>
  <c r="AB77" i="2"/>
  <c r="AD76" i="2"/>
  <c r="AC76" i="2"/>
  <c r="AB76" i="2"/>
  <c r="Q73" i="2"/>
  <c r="L73" i="2"/>
  <c r="V72" i="2"/>
  <c r="V73" i="2" s="1"/>
  <c r="Z73" i="2" s="1"/>
  <c r="S72" i="2"/>
  <c r="R72" i="2"/>
  <c r="N72" i="2"/>
  <c r="M72" i="2"/>
  <c r="I72" i="2"/>
  <c r="H72" i="2"/>
  <c r="G72" i="2"/>
  <c r="G73" i="2" s="1"/>
  <c r="AB71" i="2"/>
  <c r="X71" i="2"/>
  <c r="X73" i="2" s="1"/>
  <c r="W71" i="2"/>
  <c r="W73" i="2" s="1"/>
  <c r="J71" i="2"/>
  <c r="J73" i="2" s="1"/>
  <c r="D71" i="2"/>
  <c r="D73" i="2" s="1"/>
  <c r="E73" i="2" s="1"/>
  <c r="C71" i="2"/>
  <c r="C73" i="2" s="1"/>
  <c r="S70" i="2"/>
  <c r="R70" i="2"/>
  <c r="N70" i="2"/>
  <c r="I70" i="2"/>
  <c r="S69" i="2"/>
  <c r="R69" i="2"/>
  <c r="N69" i="2"/>
  <c r="M69" i="2"/>
  <c r="H69" i="2"/>
  <c r="AD68" i="2"/>
  <c r="AC68" i="2"/>
  <c r="AD67" i="2"/>
  <c r="AC67" i="2"/>
  <c r="R66" i="2"/>
  <c r="N66" i="2"/>
  <c r="N71" i="2" s="1"/>
  <c r="N73" i="2" s="1"/>
  <c r="H66" i="2"/>
  <c r="AD65" i="2"/>
  <c r="AC65" i="2"/>
  <c r="N62" i="2"/>
  <c r="G62" i="2"/>
  <c r="J62" i="2" s="1"/>
  <c r="AD61" i="2"/>
  <c r="AC61" i="2"/>
  <c r="L61" i="2"/>
  <c r="L62" i="2" s="1"/>
  <c r="G61" i="2"/>
  <c r="X60" i="2"/>
  <c r="X62" i="2" s="1"/>
  <c r="W60" i="2"/>
  <c r="W62" i="2" s="1"/>
  <c r="S60" i="2"/>
  <c r="S62" i="2" s="1"/>
  <c r="R60" i="2"/>
  <c r="R62" i="2" s="1"/>
  <c r="M60" i="2"/>
  <c r="J60" i="2"/>
  <c r="I60" i="2"/>
  <c r="I62" i="2" s="1"/>
  <c r="H60" i="2"/>
  <c r="H62" i="2" s="1"/>
  <c r="E60" i="2"/>
  <c r="D60" i="2"/>
  <c r="D62" i="2" s="1"/>
  <c r="C60" i="2"/>
  <c r="C62" i="2" s="1"/>
  <c r="AD59" i="2"/>
  <c r="AC59" i="2"/>
  <c r="AB59" i="2"/>
  <c r="AD58" i="2"/>
  <c r="AC58" i="2"/>
  <c r="AB58" i="2"/>
  <c r="AD57" i="2"/>
  <c r="AC57" i="2"/>
  <c r="AB57" i="2"/>
  <c r="AD56" i="2"/>
  <c r="AC56" i="2"/>
  <c r="AC60" i="2" s="1"/>
  <c r="AC62" i="2" s="1"/>
  <c r="AB56" i="2"/>
  <c r="AD55" i="2"/>
  <c r="AC55" i="2"/>
  <c r="AB55" i="2"/>
  <c r="AD54" i="2"/>
  <c r="AC54" i="2"/>
  <c r="AB54" i="2"/>
  <c r="AD53" i="2"/>
  <c r="AD60" i="2" s="1"/>
  <c r="AD62" i="2" s="1"/>
  <c r="AC53" i="2"/>
  <c r="AB53" i="2"/>
  <c r="N50" i="2"/>
  <c r="H50" i="2"/>
  <c r="AD49" i="2"/>
  <c r="AC49" i="2"/>
  <c r="G49" i="2"/>
  <c r="L49" i="2" s="1"/>
  <c r="X48" i="2"/>
  <c r="X50" i="2" s="1"/>
  <c r="W48" i="2"/>
  <c r="W50" i="2" s="1"/>
  <c r="V48" i="2"/>
  <c r="S48" i="2"/>
  <c r="S50" i="2" s="1"/>
  <c r="T50" i="2" s="1"/>
  <c r="R48" i="2"/>
  <c r="R50" i="2" s="1"/>
  <c r="Q48" i="2"/>
  <c r="M48" i="2"/>
  <c r="M50" i="2" s="1"/>
  <c r="O50" i="2" s="1"/>
  <c r="L48" i="2"/>
  <c r="I48" i="2"/>
  <c r="I50" i="2" s="1"/>
  <c r="H48" i="2"/>
  <c r="G48" i="2"/>
  <c r="G50" i="2" s="1"/>
  <c r="J50" i="2" s="1"/>
  <c r="D48" i="2"/>
  <c r="D50" i="2" s="1"/>
  <c r="C48" i="2"/>
  <c r="C50" i="2" s="1"/>
  <c r="AD47" i="2"/>
  <c r="AC47" i="2"/>
  <c r="AB47" i="2"/>
  <c r="AD46" i="2"/>
  <c r="AC46" i="2"/>
  <c r="AB46" i="2"/>
  <c r="AD45" i="2"/>
  <c r="AC45" i="2"/>
  <c r="AB45" i="2"/>
  <c r="AD44" i="2"/>
  <c r="AC44" i="2"/>
  <c r="AB44" i="2"/>
  <c r="AD43" i="2"/>
  <c r="AC43" i="2"/>
  <c r="AC48" i="2" s="1"/>
  <c r="AC50" i="2" s="1"/>
  <c r="AB43" i="2"/>
  <c r="AD42" i="2"/>
  <c r="AC42" i="2"/>
  <c r="AB42" i="2"/>
  <c r="AD41" i="2"/>
  <c r="AC41" i="2"/>
  <c r="AB41" i="2"/>
  <c r="R38" i="2"/>
  <c r="T38" i="2" s="1"/>
  <c r="G38" i="2"/>
  <c r="AD37" i="2"/>
  <c r="AC37" i="2"/>
  <c r="AC38" i="2" s="1"/>
  <c r="L37" i="2"/>
  <c r="L38" i="2" s="1"/>
  <c r="G37" i="2"/>
  <c r="R36" i="2"/>
  <c r="T36" i="2" s="1"/>
  <c r="M36" i="2"/>
  <c r="M38" i="2" s="1"/>
  <c r="O38" i="2" s="1"/>
  <c r="I36" i="2"/>
  <c r="I38" i="2" s="1"/>
  <c r="H36" i="2"/>
  <c r="H38" i="2" s="1"/>
  <c r="D36" i="2"/>
  <c r="D38" i="2" s="1"/>
  <c r="C36" i="2"/>
  <c r="C38" i="2" s="1"/>
  <c r="AD35" i="2"/>
  <c r="AC35" i="2"/>
  <c r="AD34" i="2"/>
  <c r="AC34" i="2"/>
  <c r="AD33" i="2"/>
  <c r="AC33" i="2"/>
  <c r="AD32" i="2"/>
  <c r="AC32" i="2"/>
  <c r="V29" i="2"/>
  <c r="N29" i="2"/>
  <c r="C29" i="2"/>
  <c r="AD28" i="2"/>
  <c r="AC28" i="2"/>
  <c r="AB28" i="2"/>
  <c r="X27" i="2"/>
  <c r="X29" i="2" s="1"/>
  <c r="W27" i="2"/>
  <c r="W29" i="2" s="1"/>
  <c r="V27" i="2"/>
  <c r="S27" i="2"/>
  <c r="S29" i="2" s="1"/>
  <c r="T29" i="2" s="1"/>
  <c r="R27" i="2"/>
  <c r="R29" i="2" s="1"/>
  <c r="Q27" i="2"/>
  <c r="Q29" i="2" s="1"/>
  <c r="M27" i="2"/>
  <c r="O27" i="2" s="1"/>
  <c r="L27" i="2"/>
  <c r="L29" i="2" s="1"/>
  <c r="I27" i="2"/>
  <c r="I29" i="2" s="1"/>
  <c r="H27" i="2"/>
  <c r="H29" i="2" s="1"/>
  <c r="G27" i="2"/>
  <c r="G29" i="2" s="1"/>
  <c r="D27" i="2"/>
  <c r="D29" i="2" s="1"/>
  <c r="D132" i="2" s="1"/>
  <c r="C27" i="2"/>
  <c r="AD26" i="2"/>
  <c r="AC26" i="2"/>
  <c r="AB26" i="2"/>
  <c r="AD25" i="2"/>
  <c r="AC25" i="2"/>
  <c r="AB25" i="2"/>
  <c r="AD24" i="2"/>
  <c r="AC24" i="2"/>
  <c r="AB24" i="2"/>
  <c r="AD23" i="2"/>
  <c r="AC23" i="2"/>
  <c r="AB23" i="2"/>
  <c r="AD22" i="2"/>
  <c r="AC22" i="2"/>
  <c r="AB22" i="2"/>
  <c r="AB27" i="2" s="1"/>
  <c r="AB29" i="2" s="1"/>
  <c r="AD21" i="2"/>
  <c r="AC21" i="2"/>
  <c r="AB21" i="2"/>
  <c r="AD20" i="2"/>
  <c r="AD27" i="2" s="1"/>
  <c r="AD29" i="2" s="1"/>
  <c r="AC20" i="2"/>
  <c r="AB20" i="2"/>
  <c r="H17" i="2"/>
  <c r="AD16" i="2"/>
  <c r="AC16" i="2"/>
  <c r="Q16" i="2"/>
  <c r="V16" i="2" s="1"/>
  <c r="G16" i="2"/>
  <c r="X15" i="2"/>
  <c r="X17" i="2" s="1"/>
  <c r="W15" i="2"/>
  <c r="W17" i="2" s="1"/>
  <c r="V15" i="2"/>
  <c r="V17" i="2" s="1"/>
  <c r="S15" i="2"/>
  <c r="S17" i="2" s="1"/>
  <c r="R15" i="2"/>
  <c r="R17" i="2" s="1"/>
  <c r="Q15" i="2"/>
  <c r="Q17" i="2" s="1"/>
  <c r="N15" i="2"/>
  <c r="N17" i="2" s="1"/>
  <c r="N132" i="2" s="1"/>
  <c r="M15" i="2"/>
  <c r="O15" i="2" s="1"/>
  <c r="L15" i="2"/>
  <c r="L17" i="2" s="1"/>
  <c r="I15" i="2"/>
  <c r="I17" i="2" s="1"/>
  <c r="H15" i="2"/>
  <c r="G15" i="2"/>
  <c r="G17" i="2" s="1"/>
  <c r="D15" i="2"/>
  <c r="D17" i="2" s="1"/>
  <c r="C15" i="2"/>
  <c r="C17" i="2" s="1"/>
  <c r="AD14" i="2"/>
  <c r="AC14" i="2"/>
  <c r="AB14" i="2"/>
  <c r="AD13" i="2"/>
  <c r="AC13" i="2"/>
  <c r="AB13" i="2"/>
  <c r="AD12" i="2"/>
  <c r="AC12" i="2"/>
  <c r="AB12" i="2"/>
  <c r="AD11" i="2"/>
  <c r="AC11" i="2"/>
  <c r="AB11" i="2"/>
  <c r="AD10" i="2"/>
  <c r="AC10" i="2"/>
  <c r="AB10" i="2"/>
  <c r="AD9" i="2"/>
  <c r="AC9" i="2"/>
  <c r="AB9" i="2"/>
  <c r="AD8" i="2"/>
  <c r="AC8" i="2"/>
  <c r="AB8" i="2"/>
  <c r="AD168" i="2" l="1"/>
  <c r="X132" i="2"/>
  <c r="Q49" i="2"/>
  <c r="V49" i="2" s="1"/>
  <c r="L50" i="2"/>
  <c r="M71" i="2"/>
  <c r="M73" i="2" s="1"/>
  <c r="O73" i="2" s="1"/>
  <c r="M29" i="2"/>
  <c r="O29" i="2" s="1"/>
  <c r="M109" i="2"/>
  <c r="O109" i="2" s="1"/>
  <c r="AC27" i="2"/>
  <c r="AC29" i="2" s="1"/>
  <c r="AE29" i="2" s="1"/>
  <c r="C132" i="2"/>
  <c r="AB36" i="2"/>
  <c r="Q61" i="2"/>
  <c r="V61" i="2" s="1"/>
  <c r="V62" i="2" s="1"/>
  <c r="Z62" i="2" s="1"/>
  <c r="I66" i="2"/>
  <c r="AD66" i="2" s="1"/>
  <c r="S66" i="2"/>
  <c r="S71" i="2" s="1"/>
  <c r="S73" i="2" s="1"/>
  <c r="AC72" i="2"/>
  <c r="AB83" i="2"/>
  <c r="AB85" i="2" s="1"/>
  <c r="AC83" i="2"/>
  <c r="AC85" i="2" s="1"/>
  <c r="AC95" i="2"/>
  <c r="AC97" i="2" s="1"/>
  <c r="AD95" i="2"/>
  <c r="AD97" i="2" s="1"/>
  <c r="AB119" i="2"/>
  <c r="AB121" i="2" s="1"/>
  <c r="AC119" i="2"/>
  <c r="AC121" i="2" s="1"/>
  <c r="AD126" i="2"/>
  <c r="AE130" i="2"/>
  <c r="AD137" i="2"/>
  <c r="O137" i="2"/>
  <c r="T137" i="2"/>
  <c r="AC141" i="2"/>
  <c r="AC149" i="2"/>
  <c r="AC162" i="2" s="1"/>
  <c r="L132" i="2"/>
  <c r="M17" i="2"/>
  <c r="O17" i="2" s="1"/>
  <c r="AE62" i="2"/>
  <c r="E17" i="2"/>
  <c r="T27" i="2"/>
  <c r="AC36" i="2"/>
  <c r="O48" i="2"/>
  <c r="T48" i="2"/>
  <c r="AB15" i="2"/>
  <c r="E15" i="2"/>
  <c r="J15" i="2"/>
  <c r="T15" i="2"/>
  <c r="AB16" i="2"/>
  <c r="J29" i="2"/>
  <c r="E36" i="2"/>
  <c r="O36" i="2"/>
  <c r="E38" i="2"/>
  <c r="V50" i="2"/>
  <c r="Z50" i="2" s="1"/>
  <c r="T62" i="2"/>
  <c r="AB60" i="2"/>
  <c r="M66" i="2"/>
  <c r="R71" i="2"/>
  <c r="AD70" i="2"/>
  <c r="T95" i="2"/>
  <c r="AD107" i="2"/>
  <c r="AD109" i="2" s="1"/>
  <c r="T121" i="2"/>
  <c r="W143" i="2"/>
  <c r="T141" i="2"/>
  <c r="J168" i="2"/>
  <c r="W132" i="2"/>
  <c r="Z29" i="2"/>
  <c r="J38" i="2"/>
  <c r="AD48" i="2"/>
  <c r="AD50" i="2" s="1"/>
  <c r="AE50" i="2" s="1"/>
  <c r="AB48" i="2"/>
  <c r="E50" i="2"/>
  <c r="E62" i="2"/>
  <c r="J85" i="2"/>
  <c r="J121" i="2"/>
  <c r="AB125" i="2"/>
  <c r="Z143" i="2"/>
  <c r="X143" i="2"/>
  <c r="AD156" i="2"/>
  <c r="AB156" i="2"/>
  <c r="Q162" i="2"/>
  <c r="G132" i="2"/>
  <c r="J17" i="2"/>
  <c r="L171" i="2"/>
  <c r="L170" i="2"/>
  <c r="D171" i="2"/>
  <c r="D170" i="2"/>
  <c r="W170" i="2"/>
  <c r="W171" i="2"/>
  <c r="AF29" i="2"/>
  <c r="O71" i="2"/>
  <c r="Z85" i="2"/>
  <c r="V66" i="2"/>
  <c r="N171" i="2"/>
  <c r="N170" i="2"/>
  <c r="R73" i="2"/>
  <c r="T73" i="2" s="1"/>
  <c r="T71" i="2"/>
  <c r="E137" i="2"/>
  <c r="Z17" i="2"/>
  <c r="E29" i="2"/>
  <c r="E132" i="2" s="1"/>
  <c r="AD38" i="2"/>
  <c r="AE38" i="2" s="1"/>
  <c r="AB49" i="2"/>
  <c r="AB50" i="2" s="1"/>
  <c r="M62" i="2"/>
  <c r="O60" i="2"/>
  <c r="H71" i="2"/>
  <c r="H73" i="2" s="1"/>
  <c r="H132" i="2" s="1"/>
  <c r="AC70" i="2"/>
  <c r="H97" i="2"/>
  <c r="Z109" i="2"/>
  <c r="V69" i="2"/>
  <c r="G143" i="2"/>
  <c r="J143" i="2" s="1"/>
  <c r="J137" i="2"/>
  <c r="AB135" i="2"/>
  <c r="AB137" i="2" s="1"/>
  <c r="AB143" i="2" s="1"/>
  <c r="H143" i="2"/>
  <c r="E149" i="2"/>
  <c r="C162" i="2"/>
  <c r="C170" i="2" s="1"/>
  <c r="E170" i="2" s="1"/>
  <c r="J160" i="2"/>
  <c r="G162" i="2"/>
  <c r="Q50" i="2"/>
  <c r="X171" i="2"/>
  <c r="AD162" i="2"/>
  <c r="V162" i="2"/>
  <c r="Z162" i="2" s="1"/>
  <c r="Z156" i="2"/>
  <c r="AC15" i="2"/>
  <c r="AC17" i="2" s="1"/>
  <c r="E27" i="2"/>
  <c r="J27" i="2"/>
  <c r="Q37" i="2"/>
  <c r="E48" i="2"/>
  <c r="J48" i="2"/>
  <c r="T60" i="2"/>
  <c r="E71" i="2"/>
  <c r="AB72" i="2"/>
  <c r="AB73" i="2" s="1"/>
  <c r="AD15" i="2"/>
  <c r="AD17" i="2" s="1"/>
  <c r="S132" i="2"/>
  <c r="T17" i="2"/>
  <c r="AC66" i="2"/>
  <c r="AD72" i="2"/>
  <c r="AD83" i="2"/>
  <c r="AD85" i="2" s="1"/>
  <c r="AB95" i="2"/>
  <c r="AB97" i="2" s="1"/>
  <c r="G97" i="2"/>
  <c r="J97" i="2" s="1"/>
  <c r="J95" i="2"/>
  <c r="O95" i="2"/>
  <c r="M97" i="2"/>
  <c r="O97" i="2" s="1"/>
  <c r="Z97" i="2"/>
  <c r="I109" i="2"/>
  <c r="J107" i="2"/>
  <c r="I69" i="2"/>
  <c r="AB124" i="2"/>
  <c r="AB126" i="2" s="1"/>
  <c r="AD36" i="2"/>
  <c r="AB107" i="2"/>
  <c r="AB109" i="2" s="1"/>
  <c r="J109" i="2"/>
  <c r="T126" i="2"/>
  <c r="AE126" i="2"/>
  <c r="AC137" i="2"/>
  <c r="AD141" i="2"/>
  <c r="AE141" i="2" s="1"/>
  <c r="AF141" i="2" s="1"/>
  <c r="AB149" i="2"/>
  <c r="J149" i="2"/>
  <c r="S162" i="2"/>
  <c r="T162" i="2" s="1"/>
  <c r="E160" i="2"/>
  <c r="AB160" i="2"/>
  <c r="M162" i="2"/>
  <c r="O162" i="2" s="1"/>
  <c r="J36" i="2"/>
  <c r="AD119" i="2"/>
  <c r="AD121" i="2" s="1"/>
  <c r="Z126" i="2"/>
  <c r="Z130" i="2"/>
  <c r="O141" i="2"/>
  <c r="T149" i="2"/>
  <c r="AC156" i="2"/>
  <c r="AE156" i="2" s="1"/>
  <c r="AF156" i="2" s="1"/>
  <c r="AF50" i="2" l="1"/>
  <c r="Q62" i="2"/>
  <c r="C171" i="2"/>
  <c r="AE149" i="2"/>
  <c r="AF149" i="2" s="1"/>
  <c r="AB61" i="2"/>
  <c r="AB62" i="2" s="1"/>
  <c r="AF62" i="2" s="1"/>
  <c r="AB17" i="2"/>
  <c r="H171" i="2"/>
  <c r="H170" i="2"/>
  <c r="AB162" i="2"/>
  <c r="AE162" i="2"/>
  <c r="O170" i="2"/>
  <c r="AD69" i="2"/>
  <c r="AD71" i="2" s="1"/>
  <c r="AD73" i="2" s="1"/>
  <c r="AD132" i="2" s="1"/>
  <c r="AC69" i="2"/>
  <c r="AC71" i="2" s="1"/>
  <c r="AC73" i="2" s="1"/>
  <c r="I71" i="2"/>
  <c r="I73" i="2" s="1"/>
  <c r="I132" i="2" s="1"/>
  <c r="J132" i="2" s="1"/>
  <c r="AE17" i="2"/>
  <c r="AC143" i="2"/>
  <c r="AE137" i="2"/>
  <c r="AF137" i="2" s="1"/>
  <c r="V37" i="2"/>
  <c r="Q38" i="2"/>
  <c r="E162" i="2"/>
  <c r="O62" i="2"/>
  <c r="M132" i="2"/>
  <c r="S171" i="2"/>
  <c r="S170" i="2"/>
  <c r="AD143" i="2"/>
  <c r="J162" i="2"/>
  <c r="AF126" i="2"/>
  <c r="R132" i="2"/>
  <c r="G171" i="2"/>
  <c r="G170" i="2"/>
  <c r="AE143" i="2" l="1"/>
  <c r="AF143" i="2" s="1"/>
  <c r="Q132" i="2"/>
  <c r="AF17" i="2"/>
  <c r="AE73" i="2"/>
  <c r="AF73" i="2" s="1"/>
  <c r="AC132" i="2"/>
  <c r="AD170" i="2"/>
  <c r="AD176" i="2" s="1"/>
  <c r="AD171" i="2"/>
  <c r="R171" i="2"/>
  <c r="R170" i="2"/>
  <c r="T132" i="2"/>
  <c r="V38" i="2"/>
  <c r="AB37" i="2"/>
  <c r="AB38" i="2" s="1"/>
  <c r="Q170" i="2"/>
  <c r="Q171" i="2"/>
  <c r="M171" i="2"/>
  <c r="M170" i="2"/>
  <c r="O132" i="2"/>
  <c r="I171" i="2"/>
  <c r="I170" i="2"/>
  <c r="J170" i="2" s="1"/>
  <c r="AF162" i="2"/>
  <c r="T170" i="2" l="1"/>
  <c r="AB132" i="2"/>
  <c r="AF38" i="2"/>
  <c r="AC171" i="2"/>
  <c r="AC175" i="2" s="1"/>
  <c r="AC165" i="2" s="1"/>
  <c r="AE132" i="2"/>
  <c r="Z38" i="2"/>
  <c r="V132" i="2"/>
  <c r="AF132" i="2" l="1"/>
  <c r="V171" i="2"/>
  <c r="Z132" i="2"/>
  <c r="V170" i="2"/>
  <c r="Z170" i="2" s="1"/>
  <c r="AB171" i="2"/>
  <c r="AB170" i="2"/>
  <c r="S156" i="1" l="1"/>
  <c r="P156" i="1"/>
  <c r="O156" i="1"/>
  <c r="N156" i="1"/>
  <c r="M156" i="1"/>
  <c r="F156" i="1"/>
  <c r="D156" i="1"/>
  <c r="S155" i="1"/>
  <c r="R155" i="1"/>
  <c r="I155" i="1"/>
  <c r="Q155" i="1"/>
  <c r="I154" i="1"/>
  <c r="Q153" i="1"/>
  <c r="Q156" i="1" s="1"/>
  <c r="S150" i="1"/>
  <c r="O148" i="1"/>
  <c r="N148" i="1"/>
  <c r="M148" i="1"/>
  <c r="G148" i="1"/>
  <c r="E148" i="1"/>
  <c r="R148" i="1" s="1"/>
  <c r="D148" i="1"/>
  <c r="Q148" i="1" s="1"/>
  <c r="R147" i="1"/>
  <c r="Q147" i="1"/>
  <c r="P144" i="1"/>
  <c r="O144" i="1"/>
  <c r="N144" i="1"/>
  <c r="N150" i="1" s="1"/>
  <c r="M144" i="1"/>
  <c r="F144" i="1"/>
  <c r="Q143" i="1"/>
  <c r="I143" i="1"/>
  <c r="R143" i="1"/>
  <c r="R142" i="1"/>
  <c r="I142" i="1"/>
  <c r="Q142" i="1"/>
  <c r="Q141" i="1"/>
  <c r="I141" i="1"/>
  <c r="R141" i="1"/>
  <c r="R140" i="1"/>
  <c r="R144" i="1" s="1"/>
  <c r="I140" i="1"/>
  <c r="G144" i="1"/>
  <c r="P137" i="1"/>
  <c r="P150" i="1" s="1"/>
  <c r="O137" i="1"/>
  <c r="N137" i="1"/>
  <c r="M137" i="1"/>
  <c r="E137" i="1"/>
  <c r="R136" i="1"/>
  <c r="I136" i="1"/>
  <c r="Q135" i="1"/>
  <c r="Q137" i="1" s="1"/>
  <c r="F137" i="1"/>
  <c r="R135" i="1"/>
  <c r="R137" i="1" s="1"/>
  <c r="S131" i="1"/>
  <c r="P129" i="1"/>
  <c r="N129" i="1"/>
  <c r="G129" i="1"/>
  <c r="E129" i="1"/>
  <c r="R129" i="1" s="1"/>
  <c r="Q129" i="1"/>
  <c r="I128" i="1"/>
  <c r="P125" i="1"/>
  <c r="N125" i="1"/>
  <c r="N131" i="1" s="1"/>
  <c r="G125" i="1"/>
  <c r="G131" i="1" s="1"/>
  <c r="R124" i="1"/>
  <c r="I124" i="1"/>
  <c r="Q124" i="1"/>
  <c r="O123" i="1"/>
  <c r="O125" i="1" s="1"/>
  <c r="O131" i="1" s="1"/>
  <c r="M123" i="1"/>
  <c r="D125" i="1"/>
  <c r="D131" i="1" s="1"/>
  <c r="Q118" i="1"/>
  <c r="N118" i="1"/>
  <c r="Q117" i="1"/>
  <c r="I117" i="1"/>
  <c r="F118" i="1"/>
  <c r="E118" i="1"/>
  <c r="S114" i="1"/>
  <c r="P114" i="1"/>
  <c r="N114" i="1"/>
  <c r="G114" i="1"/>
  <c r="O113" i="1"/>
  <c r="R113" i="1" s="1"/>
  <c r="M113" i="1"/>
  <c r="I113" i="1"/>
  <c r="O112" i="1"/>
  <c r="M112" i="1"/>
  <c r="M114" i="1" s="1"/>
  <c r="I112" i="1"/>
  <c r="E114" i="1"/>
  <c r="S109" i="1"/>
  <c r="Q108" i="1"/>
  <c r="I108" i="1"/>
  <c r="R108" i="1"/>
  <c r="P107" i="1"/>
  <c r="P109" i="1" s="1"/>
  <c r="P68" i="1" s="1"/>
  <c r="O107" i="1"/>
  <c r="O109" i="1" s="1"/>
  <c r="O68" i="1" s="1"/>
  <c r="N107" i="1"/>
  <c r="N68" i="1" s="1"/>
  <c r="M107" i="1"/>
  <c r="M109" i="1" s="1"/>
  <c r="D107" i="1"/>
  <c r="D109" i="1" s="1"/>
  <c r="Q106" i="1"/>
  <c r="I106" i="1"/>
  <c r="R106" i="1"/>
  <c r="Q105" i="1"/>
  <c r="R105" i="1"/>
  <c r="Q104" i="1"/>
  <c r="I104" i="1"/>
  <c r="R104" i="1"/>
  <c r="Q103" i="1"/>
  <c r="R103" i="1"/>
  <c r="Q102" i="1"/>
  <c r="I102" i="1"/>
  <c r="R102" i="1"/>
  <c r="Q101" i="1"/>
  <c r="R101" i="1"/>
  <c r="Q100" i="1"/>
  <c r="Q107" i="1" s="1"/>
  <c r="Q109" i="1" s="1"/>
  <c r="R100" i="1"/>
  <c r="R107" i="1" s="1"/>
  <c r="S97" i="1"/>
  <c r="Q96" i="1"/>
  <c r="I96" i="1"/>
  <c r="R96" i="1"/>
  <c r="P95" i="1"/>
  <c r="P97" i="1" s="1"/>
  <c r="P69" i="1" s="1"/>
  <c r="O95" i="1"/>
  <c r="O97" i="1" s="1"/>
  <c r="O69" i="1" s="1"/>
  <c r="N95" i="1"/>
  <c r="M95" i="1"/>
  <c r="M97" i="1" s="1"/>
  <c r="D95" i="1"/>
  <c r="D97" i="1" s="1"/>
  <c r="Q94" i="1"/>
  <c r="F95" i="1"/>
  <c r="R94" i="1"/>
  <c r="Q93" i="1"/>
  <c r="I93" i="1"/>
  <c r="R93" i="1"/>
  <c r="Q92" i="1"/>
  <c r="R92" i="1"/>
  <c r="Q91" i="1"/>
  <c r="I91" i="1"/>
  <c r="R91" i="1"/>
  <c r="Q90" i="1"/>
  <c r="I90" i="1"/>
  <c r="R90" i="1"/>
  <c r="Q89" i="1"/>
  <c r="I89" i="1"/>
  <c r="R89" i="1"/>
  <c r="Q88" i="1"/>
  <c r="Q95" i="1" s="1"/>
  <c r="Q97" i="1" s="1"/>
  <c r="E95" i="1"/>
  <c r="E97" i="1" s="1"/>
  <c r="S85" i="1"/>
  <c r="O85" i="1"/>
  <c r="Q84" i="1"/>
  <c r="I84" i="1"/>
  <c r="R84" i="1"/>
  <c r="P83" i="1"/>
  <c r="P85" i="1" s="1"/>
  <c r="P66" i="1" s="1"/>
  <c r="P71" i="1" s="1"/>
  <c r="P73" i="1" s="1"/>
  <c r="O83" i="1"/>
  <c r="N83" i="1"/>
  <c r="N85" i="1" s="1"/>
  <c r="M83" i="1"/>
  <c r="M85" i="1" s="1"/>
  <c r="D83" i="1"/>
  <c r="D85" i="1" s="1"/>
  <c r="Q82" i="1"/>
  <c r="I82" i="1"/>
  <c r="R82" i="1"/>
  <c r="Q81" i="1"/>
  <c r="I81" i="1"/>
  <c r="R81" i="1"/>
  <c r="Q80" i="1"/>
  <c r="I80" i="1"/>
  <c r="R80" i="1"/>
  <c r="Q79" i="1"/>
  <c r="F83" i="1"/>
  <c r="R79" i="1"/>
  <c r="Q78" i="1"/>
  <c r="I78" i="1"/>
  <c r="R78" i="1"/>
  <c r="Q77" i="1"/>
  <c r="I77" i="1"/>
  <c r="R77" i="1"/>
  <c r="Q76" i="1"/>
  <c r="Q83" i="1" s="1"/>
  <c r="Q85" i="1" s="1"/>
  <c r="I76" i="1"/>
  <c r="R76" i="1"/>
  <c r="R83" i="1" s="1"/>
  <c r="M73" i="1"/>
  <c r="E73" i="1"/>
  <c r="S72" i="1"/>
  <c r="O72" i="1"/>
  <c r="R72" i="1" s="1"/>
  <c r="N72" i="1"/>
  <c r="S71" i="1"/>
  <c r="S73" i="1" s="1"/>
  <c r="E71" i="1"/>
  <c r="Q71" i="1"/>
  <c r="S69" i="1"/>
  <c r="S68" i="1"/>
  <c r="S66" i="1"/>
  <c r="O66" i="1"/>
  <c r="N66" i="1"/>
  <c r="F71" i="1"/>
  <c r="S62" i="1"/>
  <c r="M61" i="1"/>
  <c r="I61" i="1"/>
  <c r="P60" i="1"/>
  <c r="P62" i="1" s="1"/>
  <c r="N60" i="1"/>
  <c r="N62" i="1" s="1"/>
  <c r="G60" i="1"/>
  <c r="Q60" i="1"/>
  <c r="I59" i="1"/>
  <c r="I58" i="1"/>
  <c r="I55" i="1"/>
  <c r="I54" i="1"/>
  <c r="F60" i="1"/>
  <c r="S50" i="1"/>
  <c r="I49" i="1"/>
  <c r="P48" i="1"/>
  <c r="P50" i="1" s="1"/>
  <c r="O48" i="1"/>
  <c r="N48" i="1"/>
  <c r="N50" i="1" s="1"/>
  <c r="M48" i="1"/>
  <c r="I47" i="1"/>
  <c r="R47" i="1"/>
  <c r="Q47" i="1"/>
  <c r="R46" i="1"/>
  <c r="Q46" i="1"/>
  <c r="Q45" i="1"/>
  <c r="E48" i="1"/>
  <c r="E50" i="1" s="1"/>
  <c r="I44" i="1"/>
  <c r="R44" i="1"/>
  <c r="Q44" i="1"/>
  <c r="I43" i="1"/>
  <c r="R43" i="1"/>
  <c r="Q43" i="1"/>
  <c r="R42" i="1"/>
  <c r="Q42" i="1"/>
  <c r="Q41" i="1"/>
  <c r="Q48" i="1" s="1"/>
  <c r="F48" i="1"/>
  <c r="R41" i="1"/>
  <c r="R48" i="1" s="1"/>
  <c r="N38" i="1"/>
  <c r="M37" i="1"/>
  <c r="R36" i="1"/>
  <c r="P36" i="1"/>
  <c r="P38" i="1" s="1"/>
  <c r="N36" i="1"/>
  <c r="H36" i="1"/>
  <c r="F36" i="1"/>
  <c r="F38" i="1" s="1"/>
  <c r="E36" i="1"/>
  <c r="E38" i="1" s="1"/>
  <c r="Q36" i="1"/>
  <c r="S29" i="1"/>
  <c r="I28" i="1"/>
  <c r="R28" i="1"/>
  <c r="Q28" i="1"/>
  <c r="P27" i="1"/>
  <c r="P29" i="1" s="1"/>
  <c r="O27" i="1"/>
  <c r="O29" i="1" s="1"/>
  <c r="N27" i="1"/>
  <c r="N29" i="1" s="1"/>
  <c r="M27" i="1"/>
  <c r="M29" i="1" s="1"/>
  <c r="T29" i="1" s="1"/>
  <c r="G27" i="1"/>
  <c r="G29" i="1" s="1"/>
  <c r="I26" i="1"/>
  <c r="I25" i="1"/>
  <c r="I24" i="1"/>
  <c r="I23" i="1"/>
  <c r="I22" i="1"/>
  <c r="E27" i="1"/>
  <c r="I21" i="1"/>
  <c r="F27" i="1"/>
  <c r="S17" i="1"/>
  <c r="M16" i="1"/>
  <c r="O16" i="1" s="1"/>
  <c r="I16" i="1"/>
  <c r="P15" i="1"/>
  <c r="P17" i="1" s="1"/>
  <c r="O15" i="1"/>
  <c r="N15" i="1"/>
  <c r="N17" i="1" s="1"/>
  <c r="M15" i="1"/>
  <c r="I14" i="1"/>
  <c r="R14" i="1"/>
  <c r="Q14" i="1"/>
  <c r="R13" i="1"/>
  <c r="I13" i="1"/>
  <c r="Q13" i="1"/>
  <c r="R12" i="1"/>
  <c r="Q12" i="1"/>
  <c r="I12" i="1"/>
  <c r="Q11" i="1"/>
  <c r="I11" i="1"/>
  <c r="R11" i="1"/>
  <c r="I10" i="1"/>
  <c r="R10" i="1"/>
  <c r="Q10" i="1"/>
  <c r="R9" i="1"/>
  <c r="I9" i="1"/>
  <c r="R8" i="1"/>
  <c r="R15" i="1" s="1"/>
  <c r="Q8" i="1"/>
  <c r="Q15" i="1" s="1"/>
  <c r="F15" i="1"/>
  <c r="R150" i="1" l="1"/>
  <c r="I27" i="1"/>
  <c r="Q27" i="1"/>
  <c r="Q29" i="1" s="1"/>
  <c r="I36" i="1"/>
  <c r="T97" i="1"/>
  <c r="O114" i="1"/>
  <c r="Q113" i="1"/>
  <c r="N109" i="1"/>
  <c r="F29" i="1"/>
  <c r="H29" i="1" s="1"/>
  <c r="R85" i="1"/>
  <c r="R123" i="1"/>
  <c r="R125" i="1" s="1"/>
  <c r="H144" i="1"/>
  <c r="R109" i="1"/>
  <c r="R27" i="1"/>
  <c r="R29" i="1" s="1"/>
  <c r="E29" i="1"/>
  <c r="F62" i="1"/>
  <c r="H60" i="1"/>
  <c r="E15" i="1"/>
  <c r="E17" i="1" s="1"/>
  <c r="O17" i="1"/>
  <c r="R16" i="1"/>
  <c r="I29" i="1"/>
  <c r="R49" i="1"/>
  <c r="R50" i="1" s="1"/>
  <c r="I60" i="1"/>
  <c r="G62" i="1"/>
  <c r="I62" i="1" s="1"/>
  <c r="M62" i="1"/>
  <c r="O61" i="1"/>
  <c r="O62" i="1" s="1"/>
  <c r="D15" i="1"/>
  <c r="D17" i="1" s="1"/>
  <c r="P120" i="1"/>
  <c r="F73" i="1"/>
  <c r="F97" i="1"/>
  <c r="Q16" i="1"/>
  <c r="Q17" i="1" s="1"/>
  <c r="O37" i="1"/>
  <c r="Q37" i="1" s="1"/>
  <c r="Q38" i="1" s="1"/>
  <c r="M38" i="1"/>
  <c r="F50" i="1"/>
  <c r="M49" i="1"/>
  <c r="O49" i="1" s="1"/>
  <c r="O50" i="1" s="1"/>
  <c r="R17" i="1"/>
  <c r="F17" i="1"/>
  <c r="G15" i="1"/>
  <c r="M17" i="1"/>
  <c r="F148" i="1"/>
  <c r="I148" i="1" s="1"/>
  <c r="I147" i="1"/>
  <c r="I38" i="1"/>
  <c r="H38" i="1"/>
  <c r="G48" i="1"/>
  <c r="R45" i="1"/>
  <c r="R131" i="1"/>
  <c r="M125" i="1"/>
  <c r="M131" i="1" s="1"/>
  <c r="T131" i="1" s="1"/>
  <c r="Q123" i="1"/>
  <c r="Q125" i="1" s="1"/>
  <c r="Q131" i="1" s="1"/>
  <c r="F129" i="1"/>
  <c r="H129" i="1" s="1"/>
  <c r="I127" i="1"/>
  <c r="I105" i="1"/>
  <c r="I8" i="1"/>
  <c r="Q9" i="1"/>
  <c r="S120" i="1"/>
  <c r="S158" i="1" s="1"/>
  <c r="H27" i="1"/>
  <c r="T62" i="1"/>
  <c r="Q72" i="1"/>
  <c r="I94" i="1"/>
  <c r="G107" i="1"/>
  <c r="F107" i="1"/>
  <c r="T109" i="1"/>
  <c r="R112" i="1"/>
  <c r="R114" i="1" s="1"/>
  <c r="G118" i="1"/>
  <c r="H118" i="1" s="1"/>
  <c r="R118" i="1"/>
  <c r="P131" i="1"/>
  <c r="I135" i="1"/>
  <c r="G137" i="1"/>
  <c r="I144" i="1"/>
  <c r="E83" i="1"/>
  <c r="E85" i="1" s="1"/>
  <c r="R88" i="1"/>
  <c r="R95" i="1" s="1"/>
  <c r="R97" i="1" s="1"/>
  <c r="I46" i="1"/>
  <c r="I53" i="1"/>
  <c r="Q73" i="1"/>
  <c r="O73" i="1"/>
  <c r="T73" i="1" s="1"/>
  <c r="I20" i="1"/>
  <c r="I42" i="1"/>
  <c r="I45" i="1"/>
  <c r="E60" i="1"/>
  <c r="I56" i="1"/>
  <c r="I57" i="1"/>
  <c r="G72" i="1"/>
  <c r="I72" i="1" s="1"/>
  <c r="T85" i="1"/>
  <c r="F85" i="1"/>
  <c r="G95" i="1"/>
  <c r="H95" i="1" s="1"/>
  <c r="N97" i="1"/>
  <c r="N69" i="1"/>
  <c r="N71" i="1" s="1"/>
  <c r="N73" i="1" s="1"/>
  <c r="N120" i="1" s="1"/>
  <c r="N158" i="1" s="1"/>
  <c r="I100" i="1"/>
  <c r="I101" i="1"/>
  <c r="F114" i="1"/>
  <c r="H114" i="1" s="1"/>
  <c r="E125" i="1"/>
  <c r="E131" i="1" s="1"/>
  <c r="I129" i="1"/>
  <c r="Q140" i="1"/>
  <c r="Q144" i="1" s="1"/>
  <c r="Q150" i="1" s="1"/>
  <c r="D144" i="1"/>
  <c r="T144" i="1" s="1"/>
  <c r="I79" i="1"/>
  <c r="E107" i="1"/>
  <c r="E109" i="1" s="1"/>
  <c r="Q112" i="1"/>
  <c r="Q114" i="1" s="1"/>
  <c r="R117" i="1"/>
  <c r="F125" i="1"/>
  <c r="O150" i="1"/>
  <c r="E144" i="1"/>
  <c r="E150" i="1" s="1"/>
  <c r="M150" i="1"/>
  <c r="E156" i="1"/>
  <c r="R153" i="1"/>
  <c r="R156" i="1" s="1"/>
  <c r="I41" i="1"/>
  <c r="G83" i="1"/>
  <c r="I88" i="1"/>
  <c r="I92" i="1"/>
  <c r="I103" i="1"/>
  <c r="D114" i="1"/>
  <c r="T114" i="1" s="1"/>
  <c r="I123" i="1"/>
  <c r="D137" i="1"/>
  <c r="Q136" i="1"/>
  <c r="T156" i="1"/>
  <c r="P158" i="1" l="1"/>
  <c r="G109" i="1"/>
  <c r="G70" i="1"/>
  <c r="I70" i="1" s="1"/>
  <c r="I107" i="1"/>
  <c r="I48" i="1"/>
  <c r="G50" i="1"/>
  <c r="I50" i="1" s="1"/>
  <c r="G66" i="1"/>
  <c r="G85" i="1"/>
  <c r="I85" i="1" s="1"/>
  <c r="I83" i="1"/>
  <c r="F150" i="1"/>
  <c r="G17" i="1"/>
  <c r="I15" i="1"/>
  <c r="H50" i="1"/>
  <c r="T17" i="1"/>
  <c r="D120" i="1"/>
  <c r="O120" i="1"/>
  <c r="O158" i="1" s="1"/>
  <c r="F131" i="1"/>
  <c r="H125" i="1"/>
  <c r="T137" i="1"/>
  <c r="D150" i="1"/>
  <c r="T150" i="1" s="1"/>
  <c r="R60" i="1"/>
  <c r="E62" i="1"/>
  <c r="E120" i="1" s="1"/>
  <c r="E158" i="1" s="1"/>
  <c r="H83" i="1"/>
  <c r="F120" i="1"/>
  <c r="H17" i="1"/>
  <c r="M50" i="1"/>
  <c r="T50" i="1" s="1"/>
  <c r="R61" i="1"/>
  <c r="H85" i="1"/>
  <c r="I137" i="1"/>
  <c r="G150" i="1"/>
  <c r="I150" i="1" s="1"/>
  <c r="H137" i="1"/>
  <c r="H48" i="1"/>
  <c r="O38" i="1"/>
  <c r="R37" i="1"/>
  <c r="R38" i="1" s="1"/>
  <c r="I125" i="1"/>
  <c r="G97" i="1"/>
  <c r="I97" i="1" s="1"/>
  <c r="I95" i="1"/>
  <c r="G69" i="1"/>
  <c r="I69" i="1" s="1"/>
  <c r="Q61" i="1"/>
  <c r="Q62" i="1" s="1"/>
  <c r="I114" i="1"/>
  <c r="F109" i="1"/>
  <c r="H109" i="1" s="1"/>
  <c r="H107" i="1"/>
  <c r="R71" i="1"/>
  <c r="R73" i="1" s="1"/>
  <c r="H15" i="1"/>
  <c r="Q49" i="1"/>
  <c r="Q50" i="1" s="1"/>
  <c r="T38" i="1"/>
  <c r="H62" i="1"/>
  <c r="Q120" i="1" l="1"/>
  <c r="Q158" i="1" s="1"/>
  <c r="R62" i="1"/>
  <c r="R120" i="1" s="1"/>
  <c r="R158" i="1" s="1"/>
  <c r="R159" i="1"/>
  <c r="R160" i="1" s="1"/>
  <c r="F158" i="1"/>
  <c r="D158" i="1"/>
  <c r="M120" i="1"/>
  <c r="M158" i="1" s="1"/>
  <c r="N165" i="1" s="1"/>
  <c r="I17" i="1"/>
  <c r="G71" i="1"/>
  <c r="I66" i="1"/>
  <c r="H131" i="1"/>
  <c r="I131" i="1"/>
  <c r="H97" i="1"/>
  <c r="H150" i="1"/>
  <c r="I109" i="1"/>
  <c r="T120" i="1" l="1"/>
  <c r="G73" i="1"/>
  <c r="I71" i="1"/>
  <c r="H71" i="1"/>
  <c r="T158" i="1"/>
  <c r="Q159" i="1"/>
  <c r="Q160" i="1" s="1"/>
  <c r="I73" i="1" l="1"/>
  <c r="H73" i="1"/>
  <c r="G120" i="1"/>
  <c r="G159" i="1" l="1"/>
  <c r="G153" i="1" s="1"/>
  <c r="I120" i="1"/>
  <c r="H120" i="1"/>
  <c r="G156" i="1" l="1"/>
  <c r="I153" i="1"/>
  <c r="I156" i="1" l="1"/>
  <c r="H156" i="1"/>
  <c r="G158" i="1"/>
  <c r="I158" i="1" l="1"/>
  <c r="H158" i="1"/>
  <c r="N166" i="1" s="1"/>
  <c r="N167" i="1" s="1"/>
  <c r="X165" i="2" l="1"/>
  <c r="X168" i="2" s="1"/>
  <c r="X170" i="2" s="1"/>
  <c r="AC168" i="2"/>
  <c r="AC170" i="2" s="1"/>
  <c r="AE170" i="2" s="1"/>
  <c r="AF170" i="2" s="1"/>
  <c r="AE168" i="2" l="1"/>
  <c r="AF168" i="2" s="1"/>
</calcChain>
</file>

<file path=xl/sharedStrings.xml><?xml version="1.0" encoding="utf-8"?>
<sst xmlns="http://schemas.openxmlformats.org/spreadsheetml/2006/main" count="374" uniqueCount="109">
  <si>
    <t>Original Budget</t>
  </si>
  <si>
    <t>Updated Budget</t>
  </si>
  <si>
    <t xml:space="preserve">Actuals </t>
  </si>
  <si>
    <t>Notes</t>
  </si>
  <si>
    <t>2016-2020</t>
  </si>
  <si>
    <t xml:space="preserve">I - </t>
  </si>
  <si>
    <t>Programmes</t>
  </si>
  <si>
    <t xml:space="preserve">1. </t>
  </si>
  <si>
    <t xml:space="preserve">Dialogue for Stability country programmes </t>
  </si>
  <si>
    <t>1.1</t>
  </si>
  <si>
    <t>Burundi</t>
  </si>
  <si>
    <t>Objective 1 (System)</t>
  </si>
  <si>
    <t xml:space="preserve">The underspending on objective 1 and 4 are due to difficulties in implementing interventions at national level. The funds were shifted to support sub-national interventions at provincial level (see section 2 of the narrative report). The programme monitoring budget, which includes NIMD missions and travel costs, was drastically reduced in the revised annual plan but still could not be spent due to COVID-19 restrictions. The capacity building activities for PM&amp;E could not be implemented for the same reasons (support was provided online). </t>
  </si>
  <si>
    <t>Objective 2 (Actor)</t>
  </si>
  <si>
    <t>Objective 3 (Culture)</t>
  </si>
  <si>
    <t>Objective 4 (Gender equality &amp; Inclusion)</t>
  </si>
  <si>
    <t>Programme monitoring</t>
  </si>
  <si>
    <t>Capacity building for PM&amp;E</t>
  </si>
  <si>
    <t>Local Office Costs Partner/Country Office</t>
  </si>
  <si>
    <t>Total country budget</t>
  </si>
  <si>
    <t>Direct Staff Costs NIMD</t>
  </si>
  <si>
    <t>Total Budget</t>
  </si>
  <si>
    <t>1.2</t>
  </si>
  <si>
    <t>Colombia</t>
  </si>
  <si>
    <t>The NIMD Colombia office made use of part of the underspending of the Venezuela budget (managed through Colombia) to implement additionnal interventions on objective 1, 2 and 4. The underspending on objective 3 is due to the fact that Democracy School sessions were implemented online until the end of the year. The programme monitoring budget, which includes NIMD missions and travel costs, could not be spent due to COVID-19 restrictions. The capacity building activities for PM&amp;E could not be fully implemented for the same reasons (support was provided online). On local office costs there were some savings, mainly related to the rent.</t>
  </si>
  <si>
    <t>To be decided</t>
  </si>
  <si>
    <t>1.3</t>
  </si>
  <si>
    <t>South Sudan</t>
  </si>
  <si>
    <t>conference</t>
  </si>
  <si>
    <t>peer exchange</t>
  </si>
  <si>
    <t>1.4</t>
  </si>
  <si>
    <t>Tunisia</t>
  </si>
  <si>
    <t>The overall programmatic underspending is due to the fact that a number of planned interventions with high level political actors, such as the MDP (objective 1) and the TSoP debates (objective 3), could not be implemented due to a difficult national political context (see section 2 of the narrative report). The programme monitoring budget, which includes NIMD missions and travel costs, was reduced in the revised annual plan but still could not be spent due to COVID-19 restrictions. The capacity building activities for PM&amp;E could not be implemented for the same reasons (support was provided online).The underspending on PM&amp;E is due to the fact that CEMI conducted the final measurements of outcome level indicators in-house, instead of getting support from an external consultant as initially foreseen. Finally, NIMD staff costs were lower than foreseen, because the focus of the collaboration with CEMI was on the development on the new Power of Dialogue programme, rather than the Tunisia DfS one.</t>
  </si>
  <si>
    <t>1.5</t>
  </si>
  <si>
    <t>Ukraine</t>
  </si>
  <si>
    <t>The slight overall programme underspending is due to COVID-related restrictions, which forced EECMD to conduct Democracy School sessions online (see section 2 of the narrative report). The PM&amp;E budget could not be fully spent due to COVID-19 related restricitons (support was provided online). The capacity building activities for PM&amp;E could not be implemented for the same reasons (support was provided online). The NIMD programme manager in charge of Ukraine left the organization in June 2020 and was not replaced (Ukraine is no longer part of NIMD's country programmes in 2021), creating on underspending on the NIMD staff costs line.</t>
  </si>
  <si>
    <t>Total budget</t>
  </si>
  <si>
    <t>1.6</t>
  </si>
  <si>
    <t xml:space="preserve">Explatory countries </t>
  </si>
  <si>
    <t>Israel/Palestinian territories</t>
  </si>
  <si>
    <t xml:space="preserve">The overall underspending is due to the underspending on both Venezuela and MENA regional programme. See justification below. </t>
  </si>
  <si>
    <t>Jordan (1.6a)</t>
  </si>
  <si>
    <t>Kurdistan</t>
  </si>
  <si>
    <t>Lebanon</t>
  </si>
  <si>
    <t>MENA-region (1.6b)</t>
  </si>
  <si>
    <t>Venezuela (1.6c)</t>
  </si>
  <si>
    <t xml:space="preserve">Total country budget </t>
  </si>
  <si>
    <t>Direct staff</t>
  </si>
  <si>
    <t>1.6a</t>
  </si>
  <si>
    <t>Jordan</t>
  </si>
  <si>
    <t xml:space="preserve">Planned interventions on objective 1 and 4 could not be implemented all together, due to COVID-19 related restrictions. This underspending was used to make an additionnal investment on objective 3, which includes the series of radio debates included in the narrative report (section 2). The programme monitoring budget, which includes NIMD missions and travel costs, was drastically reduced in the revised annual plan but still could not be spent due to COVID-19 restrictions. </t>
  </si>
  <si>
    <t>1.6b</t>
  </si>
  <si>
    <t>MENA-region</t>
  </si>
  <si>
    <t>The revised annual plan submitted in July 2020 still cattered for a couple of exchange visits, including a visit by Jordanians and Tunisians youth political party members to The Hague (objective 3), which could not be organized due to COVID-19 related restrictions. The regional training sessions (objective 2) were fully implemented online until the end of the year, leading to higher underspending than foreseen. The programme monitoring budget, which includes NIMD missions and travel costs, was drastically reduced in the revised annual plan but still could not be spent due to COVID-19 restrictions. The PM&amp;E budget could not be spend for the same reasons.</t>
  </si>
  <si>
    <t>1.6c</t>
  </si>
  <si>
    <t>Venezuela</t>
  </si>
  <si>
    <t>A number of activities foreseen under objective 2, such as a peer exchange visit for Members of Parliament, could not be implemented due to COVID-19 related restrictions. Some of these funds were used to produced 4 research papers, reported under objective 1. The underspending on objective 3 is due to higher COVID-19 related savings than foreseen, as the sessions of the Democracy Schools were mostly organized online. The programme monitoring budget, which includes NIMD missions and travel costs, could not be spent due to COVID-19 restrictions. The overspending on local office costs, although limited in absolute numbers, is linked to an extra-investment made by NIMD to ensure the sustainability of its programme and staff in Venezuela.</t>
  </si>
  <si>
    <t>1.7</t>
  </si>
  <si>
    <t>Enhanced knowledge and skills base for Fragile settings</t>
  </si>
  <si>
    <t>Expertise, skills and tools for Fragile and conflict affected settings</t>
  </si>
  <si>
    <t>Peer learning and exchange for Fragile and conflict affected settings</t>
  </si>
  <si>
    <t>1.8</t>
  </si>
  <si>
    <t>City Deals</t>
  </si>
  <si>
    <t>Total budget DfS country programmes</t>
  </si>
  <si>
    <t>2.</t>
  </si>
  <si>
    <t>Knowledge &amp; Innovation</t>
  </si>
  <si>
    <t>Applied knowledge &amp; Methodology development</t>
  </si>
  <si>
    <t>Peer learning &amp; exchange</t>
  </si>
  <si>
    <t xml:space="preserve">Subtotal Knowledge </t>
  </si>
  <si>
    <t>Mapping and convening</t>
  </si>
  <si>
    <t>Piloting</t>
  </si>
  <si>
    <t>Subtotal Innovation</t>
  </si>
  <si>
    <t>Total budget Knowledge &amp; Innovation</t>
  </si>
  <si>
    <t>II -</t>
  </si>
  <si>
    <t>Organisational Development</t>
  </si>
  <si>
    <t>3.</t>
  </si>
  <si>
    <t>Fundraising &amp; Positioning</t>
  </si>
  <si>
    <t>Internal Fundraising capacity</t>
  </si>
  <si>
    <t>Positioning</t>
  </si>
  <si>
    <t>4.</t>
  </si>
  <si>
    <t>Planning, Monitoring &amp; Evaluation</t>
  </si>
  <si>
    <t>Internal PME capacity</t>
  </si>
  <si>
    <t>The costs foreseen to integrate IATI reporting into NIMD's new Project Management System were lower than foreseen</t>
  </si>
  <si>
    <t>Final programme evaluation</t>
  </si>
  <si>
    <t>Capacity building country PME</t>
  </si>
  <si>
    <t>IATI implementation</t>
  </si>
  <si>
    <t>5.</t>
  </si>
  <si>
    <t>Coordination</t>
  </si>
  <si>
    <t>Internal Coordination capacity</t>
  </si>
  <si>
    <t>The staff costs on programme coordination were slightly higher than foreseen.</t>
  </si>
  <si>
    <t>Total budget Institutional Development</t>
  </si>
  <si>
    <t>III -</t>
  </si>
  <si>
    <t>Programme overhead</t>
  </si>
  <si>
    <t>Overhead &amp; office running cost (12,78%)</t>
  </si>
  <si>
    <t>The sustainability budget, which was added to the revised annual plan, was partly used to cover the staff hours spent in Q1 of 2021 to work on the final reporting of the programme. This was approved by the MFA in April 2021.</t>
  </si>
  <si>
    <t>Sustainbility budget</t>
  </si>
  <si>
    <t>Audit</t>
  </si>
  <si>
    <t>Total DfS Budget</t>
  </si>
  <si>
    <t>Financial Report 2020 DfS NIMD</t>
  </si>
  <si>
    <t>Only one peer learning exchange could be implemented in early 2020. Due to COVID-19 related restrictions, the other foreseen exchanges did not take place and all learning related activities were implemented online (see section 3.1 of the narrative report).</t>
  </si>
  <si>
    <t>The underspending on Peer learning &amp; exchange is due to COVID-19 related restrictions, as the marjority of the learning happened online, triggering cost savings. This also partly explains the underspending on Piloting, although it should be noted  that some of the pilots mentionned is section 3.2 of the narrative report were directly funded from country programme budgets.</t>
  </si>
  <si>
    <t>The overspending is due to the implementation of additionnal Positioning interventions around the COVID-19 crisis and its effects, as described in section 4.1 of the narrative report.</t>
  </si>
  <si>
    <t>Financial Report 2016-2020 DfS NIMD</t>
  </si>
  <si>
    <t>Deviation</t>
  </si>
  <si>
    <t xml:space="preserve">Exploratory countries </t>
  </si>
  <si>
    <t>Venezuela (1.6d)</t>
  </si>
  <si>
    <t>Lebanon (1.6c)</t>
  </si>
  <si>
    <t>1.6d</t>
  </si>
  <si>
    <t>Overhead &amp; office running cost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</si>
</sst>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quot;€&quot;\ * #,##0.00_ ;_ &quot;€&quot;\ * \-#,##0.00_ ;_ &quot;€&quot;\ * &quot;-&quot;??_ ;_ @_ "/>
    <numFmt numFmtId="43" formatCode="_ * #,##0.00_ ;_ * \-#,##0.00_ ;_ * &quot;-&quot;??_ ;_ @_ "/>
    <numFmt numFmtId="164" formatCode="_ [$€-2]\ * #,##0_ ;_ [$€-2]\ * \-#,##0_ ;_ [$€-2]\ * &quot;-&quot;??_ ;_ @_ "/>
    <numFmt numFmtId="165" formatCode="_([$€-2]\ * #,##0_);_([$€-2]\ * \(#,##0\);_([$€-2]\ * &quot;-&quot;??_);_(@_)"/>
    <numFmt numFmtId="166" formatCode="_ * #,##0_ ;_ * \-#,##0_ ;_ * &quot;-&quot;??_ ;_ @_ "/>
    <numFmt numFmtId="167" formatCode="_ &quot;€&quot;\ * #,##0_ ;_ &quot;€&quot;\ * \-#,##0_ ;_ &quot;€&quot;\ * &quot;-&quot;??_ ;_ @_ "/>
    <numFmt numFmtId="168" formatCode="0.0%"/>
    <numFmt numFmtId="169" formatCode="_ [$€-2]\ * #,##0.00_ ;_ [$€-2]\ * \-#,##0.00_ ;_ [$€-2]\ * &quot;-&quot;??_ ;_ @_ "/>
  </numFmts>
  <fonts count="25" x14ac:knownFonts="1">
    <font>
      <sz val="11"/>
      <color theme="1"/>
      <name val="Calibri"/>
      <family val="2"/>
    </font>
    <font>
      <sz val="11"/>
      <color theme="1"/>
      <name val="Calibri"/>
      <family val="2"/>
    </font>
    <font>
      <b/>
      <sz val="20"/>
      <color rgb="FF0070C0"/>
      <name val="Arial"/>
      <family val="2"/>
    </font>
    <font>
      <sz val="20"/>
      <color theme="1"/>
      <name val="Arial"/>
      <family val="2"/>
    </font>
    <font>
      <b/>
      <sz val="14"/>
      <color theme="1"/>
      <name val="Arial"/>
      <family val="2"/>
    </font>
    <font>
      <b/>
      <sz val="14"/>
      <color rgb="FF0070C0"/>
      <name val="Arial"/>
      <family val="2"/>
    </font>
    <font>
      <sz val="14"/>
      <color theme="1"/>
      <name val="Arial"/>
      <family val="2"/>
    </font>
    <font>
      <b/>
      <sz val="16"/>
      <color rgb="FF000000"/>
      <name val="Arial"/>
      <family val="2"/>
    </font>
    <font>
      <b/>
      <sz val="16"/>
      <color theme="1"/>
      <name val="Arial"/>
      <family val="2"/>
    </font>
    <font>
      <b/>
      <i/>
      <sz val="14"/>
      <color rgb="FF000000"/>
      <name val="Arial"/>
      <family val="2"/>
    </font>
    <font>
      <b/>
      <i/>
      <sz val="14"/>
      <color theme="1"/>
      <name val="Arial"/>
      <family val="2"/>
    </font>
    <font>
      <sz val="14"/>
      <name val="Arial"/>
      <family val="2"/>
    </font>
    <font>
      <i/>
      <sz val="12"/>
      <color theme="0" tint="-0.34998626667073579"/>
      <name val="Arial"/>
      <family val="2"/>
    </font>
    <font>
      <b/>
      <sz val="14"/>
      <name val="Arial"/>
      <family val="2"/>
    </font>
    <font>
      <b/>
      <i/>
      <sz val="14"/>
      <name val="Arial"/>
      <family val="2"/>
    </font>
    <font>
      <b/>
      <sz val="14"/>
      <color theme="0" tint="-0.34998626667073579"/>
      <name val="Arial"/>
      <family val="2"/>
    </font>
    <font>
      <i/>
      <sz val="14"/>
      <color theme="0" tint="-0.34998626667073579"/>
      <name val="Arial"/>
      <family val="2"/>
    </font>
    <font>
      <sz val="14"/>
      <color theme="0" tint="-0.34998626667073579"/>
      <name val="Arial"/>
      <family val="2"/>
    </font>
    <font>
      <b/>
      <sz val="14"/>
      <color rgb="FF000000"/>
      <name val="Arial"/>
      <family val="2"/>
    </font>
    <font>
      <i/>
      <sz val="14"/>
      <color theme="1"/>
      <name val="Arial"/>
      <family val="2"/>
    </font>
    <font>
      <b/>
      <sz val="14"/>
      <color theme="0" tint="-0.499984740745262"/>
      <name val="Arial"/>
      <family val="2"/>
    </font>
    <font>
      <sz val="14"/>
      <color theme="0" tint="-0.499984740745262"/>
      <name val="Arial"/>
      <family val="2"/>
    </font>
    <font>
      <sz val="20"/>
      <color rgb="FFFF0000"/>
      <name val="Arial"/>
      <family val="2"/>
    </font>
    <font>
      <i/>
      <sz val="14"/>
      <name val="Arial"/>
      <family val="2"/>
    </font>
    <font>
      <b/>
      <i/>
      <sz val="14"/>
      <color theme="2" tint="-9.9978637043366805E-2"/>
      <name val="Arial"/>
      <family val="2"/>
    </font>
  </fonts>
  <fills count="12">
    <fill>
      <patternFill patternType="none"/>
    </fill>
    <fill>
      <patternFill patternType="gray125"/>
    </fill>
    <fill>
      <patternFill patternType="solid">
        <fgColor rgb="FFF79646"/>
        <bgColor rgb="FF000000"/>
      </patternFill>
    </fill>
    <fill>
      <patternFill patternType="solid">
        <fgColor rgb="FFFCD5B4"/>
        <bgColor rgb="FF000000"/>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D9D9D9"/>
        <bgColor rgb="FF000000"/>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46">
    <xf numFmtId="0" fontId="0" fillId="0" borderId="0" xfId="0"/>
    <xf numFmtId="0" fontId="2" fillId="0" borderId="0" xfId="0" applyFont="1" applyBorder="1"/>
    <xf numFmtId="0" fontId="3" fillId="0" borderId="0" xfId="0" applyFont="1"/>
    <xf numFmtId="0" fontId="3" fillId="0" borderId="0" xfId="0" applyFont="1" applyBorder="1"/>
    <xf numFmtId="0" fontId="3" fillId="0" borderId="0" xfId="0" applyFont="1" applyFill="1" applyBorder="1"/>
    <xf numFmtId="0" fontId="3" fillId="0" borderId="0" xfId="0" applyFont="1" applyBorder="1" applyAlignment="1">
      <alignment horizontal="center"/>
    </xf>
    <xf numFmtId="0" fontId="4" fillId="0" borderId="0" xfId="0" applyFont="1" applyBorder="1" applyAlignment="1">
      <alignment horizontal="right"/>
    </xf>
    <xf numFmtId="14" fontId="5" fillId="0" borderId="0" xfId="0" applyNumberFormat="1" applyFont="1" applyBorder="1" applyAlignment="1">
      <alignment horizontal="left"/>
    </xf>
    <xf numFmtId="0" fontId="6" fillId="0" borderId="0" xfId="0" applyFont="1"/>
    <xf numFmtId="0" fontId="6" fillId="0" borderId="0" xfId="0" applyFont="1" applyFill="1" applyBorder="1"/>
    <xf numFmtId="164" fontId="6" fillId="0" borderId="0" xfId="0" applyNumberFormat="1" applyFont="1" applyBorder="1"/>
    <xf numFmtId="0" fontId="6" fillId="0" borderId="0" xfId="0" applyFont="1" applyBorder="1"/>
    <xf numFmtId="0" fontId="6" fillId="0" borderId="0" xfId="0" applyFont="1" applyBorder="1" applyAlignment="1">
      <alignment horizontal="center"/>
    </xf>
    <xf numFmtId="0" fontId="5" fillId="0" borderId="0" xfId="0" applyFont="1" applyBorder="1"/>
    <xf numFmtId="164" fontId="4" fillId="0" borderId="0"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7" fillId="2" borderId="2" xfId="0" applyFont="1" applyFill="1" applyBorder="1"/>
    <xf numFmtId="0" fontId="7" fillId="2" borderId="4" xfId="0" applyFont="1" applyFill="1" applyBorder="1" applyAlignment="1">
      <alignment horizontal="center"/>
    </xf>
    <xf numFmtId="0" fontId="7" fillId="0" borderId="0" xfId="0" applyFont="1" applyFill="1" applyBorder="1"/>
    <xf numFmtId="0" fontId="8" fillId="0" borderId="0" xfId="0" applyFont="1"/>
    <xf numFmtId="0" fontId="9" fillId="3" borderId="2" xfId="0" applyFont="1" applyFill="1" applyBorder="1"/>
    <xf numFmtId="0" fontId="9" fillId="3" borderId="2" xfId="0" applyFont="1" applyFill="1" applyBorder="1" applyAlignment="1">
      <alignment horizontal="center"/>
    </xf>
    <xf numFmtId="0" fontId="9" fillId="0" borderId="0" xfId="0" applyFont="1" applyFill="1" applyBorder="1"/>
    <xf numFmtId="0" fontId="10" fillId="0" borderId="0" xfId="0" applyFont="1"/>
    <xf numFmtId="0" fontId="4" fillId="4" borderId="2" xfId="0" applyFont="1" applyFill="1" applyBorder="1" applyAlignment="1">
      <alignment horizontal="right"/>
    </xf>
    <xf numFmtId="0" fontId="4" fillId="4" borderId="2" xfId="0" applyFont="1" applyFill="1" applyBorder="1"/>
    <xf numFmtId="0" fontId="4" fillId="4" borderId="2" xfId="0" applyNumberFormat="1" applyFont="1" applyFill="1" applyBorder="1" applyAlignment="1">
      <alignment horizontal="left"/>
    </xf>
    <xf numFmtId="0" fontId="4" fillId="4" borderId="2" xfId="0" applyNumberFormat="1" applyFont="1" applyFill="1" applyBorder="1" applyAlignment="1">
      <alignment horizontal="center"/>
    </xf>
    <xf numFmtId="0" fontId="4" fillId="0" borderId="0" xfId="0" applyFont="1" applyFill="1" applyBorder="1"/>
    <xf numFmtId="0" fontId="6" fillId="4" borderId="0" xfId="0" applyFont="1" applyFill="1"/>
    <xf numFmtId="0" fontId="4" fillId="0" borderId="2" xfId="0" applyFont="1" applyBorder="1" applyAlignment="1">
      <alignment horizontal="right"/>
    </xf>
    <xf numFmtId="0" fontId="11" fillId="0" borderId="2" xfId="0" applyFont="1" applyBorder="1"/>
    <xf numFmtId="0" fontId="11" fillId="0" borderId="3" xfId="0" applyFont="1" applyBorder="1"/>
    <xf numFmtId="0" fontId="11" fillId="0" borderId="0" xfId="0" applyFont="1" applyFill="1" applyBorder="1"/>
    <xf numFmtId="164" fontId="11" fillId="5" borderId="2" xfId="0" applyNumberFormat="1" applyFont="1" applyFill="1" applyBorder="1"/>
    <xf numFmtId="164" fontId="11" fillId="6" borderId="2" xfId="0" applyNumberFormat="1" applyFont="1" applyFill="1" applyBorder="1"/>
    <xf numFmtId="164" fontId="11" fillId="7" borderId="2" xfId="0" applyNumberFormat="1" applyFont="1" applyFill="1" applyBorder="1"/>
    <xf numFmtId="164" fontId="11" fillId="8" borderId="2" xfId="0" applyNumberFormat="1" applyFont="1" applyFill="1" applyBorder="1"/>
    <xf numFmtId="164" fontId="11" fillId="0" borderId="2" xfId="0" applyNumberFormat="1" applyFont="1" applyBorder="1"/>
    <xf numFmtId="9" fontId="12" fillId="0" borderId="2" xfId="2" applyFont="1" applyFill="1" applyBorder="1" applyAlignment="1">
      <alignment horizontal="center"/>
    </xf>
    <xf numFmtId="0" fontId="4" fillId="0" borderId="2" xfId="0" applyFont="1" applyFill="1" applyBorder="1" applyAlignment="1">
      <alignment horizontal="right"/>
    </xf>
    <xf numFmtId="0" fontId="11" fillId="0" borderId="2" xfId="0" applyFont="1" applyFill="1" applyBorder="1"/>
    <xf numFmtId="164" fontId="11" fillId="0" borderId="2" xfId="0" applyNumberFormat="1" applyFont="1" applyFill="1" applyBorder="1"/>
    <xf numFmtId="0" fontId="6" fillId="0" borderId="0" xfId="0" applyFont="1" applyFill="1"/>
    <xf numFmtId="0" fontId="13" fillId="0" borderId="2" xfId="0" applyFont="1" applyFill="1" applyBorder="1"/>
    <xf numFmtId="0" fontId="13" fillId="0" borderId="0" xfId="0" applyFont="1" applyFill="1" applyBorder="1"/>
    <xf numFmtId="164" fontId="13" fillId="5" borderId="2" xfId="0" applyNumberFormat="1" applyFont="1" applyFill="1" applyBorder="1"/>
    <xf numFmtId="164" fontId="13" fillId="6" borderId="2" xfId="0" applyNumberFormat="1" applyFont="1" applyFill="1" applyBorder="1"/>
    <xf numFmtId="164" fontId="13" fillId="7" borderId="2" xfId="0" applyNumberFormat="1" applyFont="1" applyFill="1" applyBorder="1"/>
    <xf numFmtId="164" fontId="13" fillId="8" borderId="2" xfId="0" applyNumberFormat="1" applyFont="1" applyFill="1" applyBorder="1"/>
    <xf numFmtId="164" fontId="13" fillId="0" borderId="2" xfId="0" applyNumberFormat="1" applyFont="1" applyFill="1" applyBorder="1"/>
    <xf numFmtId="9" fontId="10" fillId="0" borderId="2" xfId="2" applyFont="1" applyFill="1" applyBorder="1" applyAlignment="1">
      <alignment horizontal="center"/>
    </xf>
    <xf numFmtId="0" fontId="4" fillId="0" borderId="0" xfId="0" applyFont="1" applyFill="1"/>
    <xf numFmtId="164" fontId="14" fillId="5" borderId="2" xfId="0" applyNumberFormat="1" applyFont="1" applyFill="1" applyBorder="1"/>
    <xf numFmtId="164" fontId="14" fillId="6" borderId="2" xfId="0" applyNumberFormat="1" applyFont="1" applyFill="1" applyBorder="1"/>
    <xf numFmtId="164" fontId="14" fillId="7" borderId="2" xfId="0" applyNumberFormat="1" applyFont="1" applyFill="1" applyBorder="1"/>
    <xf numFmtId="164" fontId="14" fillId="8" borderId="2" xfId="0" applyNumberFormat="1" applyFont="1" applyFill="1" applyBorder="1"/>
    <xf numFmtId="164" fontId="6" fillId="0" borderId="0" xfId="0" applyNumberFormat="1" applyFont="1" applyFill="1"/>
    <xf numFmtId="0" fontId="15" fillId="0" borderId="2" xfId="0" applyFont="1" applyFill="1" applyBorder="1" applyAlignment="1"/>
    <xf numFmtId="0" fontId="15" fillId="0" borderId="0" xfId="0" applyFont="1" applyFill="1" applyBorder="1" applyAlignment="1"/>
    <xf numFmtId="0" fontId="15" fillId="5" borderId="2" xfId="0" applyFont="1" applyFill="1" applyBorder="1" applyAlignment="1"/>
    <xf numFmtId="0" fontId="15" fillId="6" borderId="2" xfId="0" applyFont="1" applyFill="1" applyBorder="1" applyAlignment="1"/>
    <xf numFmtId="0" fontId="15" fillId="7" borderId="2" xfId="0" applyFont="1" applyFill="1" applyBorder="1" applyAlignment="1"/>
    <xf numFmtId="0" fontId="15" fillId="8" borderId="2" xfId="0" applyFont="1" applyFill="1" applyBorder="1" applyAlignment="1"/>
    <xf numFmtId="0" fontId="15" fillId="0" borderId="2" xfId="0" applyFont="1" applyFill="1" applyBorder="1" applyAlignment="1">
      <alignment horizontal="center"/>
    </xf>
    <xf numFmtId="0" fontId="16" fillId="0" borderId="0" xfId="0" applyFont="1" applyFill="1"/>
    <xf numFmtId="165" fontId="11" fillId="0" borderId="2" xfId="0" applyNumberFormat="1" applyFont="1" applyFill="1" applyBorder="1"/>
    <xf numFmtId="166" fontId="15" fillId="0" borderId="2" xfId="1" applyNumberFormat="1" applyFont="1" applyFill="1" applyBorder="1" applyAlignment="1"/>
    <xf numFmtId="166" fontId="15" fillId="0" borderId="0" xfId="1" applyNumberFormat="1" applyFont="1" applyFill="1" applyBorder="1" applyAlignment="1"/>
    <xf numFmtId="166" fontId="15" fillId="5" borderId="2" xfId="1" applyNumberFormat="1" applyFont="1" applyFill="1" applyBorder="1" applyAlignment="1"/>
    <xf numFmtId="166" fontId="15" fillId="6" borderId="2" xfId="1" applyNumberFormat="1" applyFont="1" applyFill="1" applyBorder="1" applyAlignment="1"/>
    <xf numFmtId="166" fontId="15" fillId="7" borderId="2" xfId="1" applyNumberFormat="1" applyFont="1" applyFill="1" applyBorder="1" applyAlignment="1"/>
    <xf numFmtId="166" fontId="15" fillId="8" borderId="2" xfId="1" applyNumberFormat="1" applyFont="1" applyFill="1" applyBorder="1" applyAlignment="1"/>
    <xf numFmtId="166" fontId="15" fillId="0" borderId="2" xfId="1" applyNumberFormat="1" applyFont="1" applyFill="1" applyBorder="1" applyAlignment="1">
      <alignment horizontal="center"/>
    </xf>
    <xf numFmtId="166" fontId="17" fillId="0" borderId="0" xfId="1" applyNumberFormat="1" applyFont="1" applyFill="1"/>
    <xf numFmtId="164" fontId="11" fillId="0" borderId="2" xfId="0" applyNumberFormat="1" applyFont="1" applyFill="1" applyBorder="1" applyAlignment="1">
      <alignment horizontal="center"/>
    </xf>
    <xf numFmtId="166" fontId="16" fillId="0" borderId="0" xfId="1" applyNumberFormat="1" applyFont="1" applyFill="1"/>
    <xf numFmtId="165" fontId="6" fillId="5" borderId="2" xfId="0" applyNumberFormat="1" applyFont="1" applyFill="1" applyBorder="1"/>
    <xf numFmtId="165" fontId="6" fillId="0" borderId="2" xfId="0" applyNumberFormat="1" applyFont="1" applyFill="1" applyBorder="1"/>
    <xf numFmtId="167" fontId="11" fillId="5" borderId="2" xfId="0" applyNumberFormat="1" applyFont="1" applyFill="1" applyBorder="1"/>
    <xf numFmtId="167" fontId="11" fillId="8" borderId="2" xfId="0" applyNumberFormat="1" applyFont="1" applyFill="1" applyBorder="1"/>
    <xf numFmtId="167" fontId="11" fillId="0" borderId="2" xfId="0" applyNumberFormat="1" applyFont="1" applyFill="1" applyBorder="1"/>
    <xf numFmtId="167" fontId="11" fillId="6" borderId="2" xfId="0" applyNumberFormat="1" applyFont="1" applyFill="1" applyBorder="1"/>
    <xf numFmtId="0" fontId="13" fillId="0" borderId="2" xfId="0" applyFont="1" applyBorder="1"/>
    <xf numFmtId="0" fontId="4" fillId="0" borderId="0" xfId="0" applyFont="1"/>
    <xf numFmtId="166" fontId="15" fillId="0" borderId="2" xfId="1" applyNumberFormat="1" applyFont="1" applyBorder="1" applyAlignment="1"/>
    <xf numFmtId="166" fontId="15" fillId="0" borderId="2" xfId="1" applyNumberFormat="1" applyFont="1" applyBorder="1" applyAlignment="1">
      <alignment horizontal="center"/>
    </xf>
    <xf numFmtId="166" fontId="16" fillId="0" borderId="0" xfId="1" applyNumberFormat="1" applyFont="1"/>
    <xf numFmtId="164" fontId="11" fillId="0" borderId="2" xfId="0" applyNumberFormat="1" applyFont="1" applyBorder="1" applyAlignment="1">
      <alignment horizontal="center"/>
    </xf>
    <xf numFmtId="164" fontId="17" fillId="0" borderId="2" xfId="0" applyNumberFormat="1" applyFont="1" applyBorder="1" applyAlignment="1">
      <alignment horizontal="center"/>
    </xf>
    <xf numFmtId="9" fontId="17" fillId="0" borderId="2" xfId="2" applyFont="1" applyBorder="1" applyAlignment="1">
      <alignment horizontal="center"/>
    </xf>
    <xf numFmtId="164" fontId="14" fillId="0" borderId="2" xfId="0" applyNumberFormat="1" applyFont="1" applyBorder="1"/>
    <xf numFmtId="164" fontId="14" fillId="0" borderId="2" xfId="0" applyNumberFormat="1" applyFont="1" applyBorder="1" applyAlignment="1">
      <alignment horizontal="center"/>
    </xf>
    <xf numFmtId="164" fontId="6" fillId="0" borderId="0" xfId="0" applyNumberFormat="1" applyFont="1"/>
    <xf numFmtId="0" fontId="18" fillId="9" borderId="2" xfId="0" applyFont="1" applyFill="1" applyBorder="1" applyAlignment="1">
      <alignment horizontal="right"/>
    </xf>
    <xf numFmtId="0" fontId="10" fillId="4" borderId="3" xfId="0" applyFont="1" applyFill="1" applyBorder="1" applyAlignment="1"/>
    <xf numFmtId="0" fontId="10" fillId="0" borderId="0" xfId="0" applyFont="1" applyFill="1" applyBorder="1" applyAlignment="1"/>
    <xf numFmtId="0" fontId="4" fillId="4" borderId="7" xfId="0" applyNumberFormat="1" applyFont="1" applyFill="1" applyBorder="1" applyAlignment="1">
      <alignment horizontal="center"/>
    </xf>
    <xf numFmtId="0" fontId="6" fillId="0" borderId="2" xfId="0" applyFont="1" applyFill="1" applyBorder="1" applyAlignment="1">
      <alignment horizontal="right"/>
    </xf>
    <xf numFmtId="0" fontId="10" fillId="0" borderId="2" xfId="0" applyFont="1" applyFill="1" applyBorder="1" applyAlignment="1">
      <alignment horizontal="right"/>
    </xf>
    <xf numFmtId="0" fontId="14" fillId="0" borderId="2" xfId="0" applyFont="1" applyFill="1" applyBorder="1"/>
    <xf numFmtId="0" fontId="14" fillId="0" borderId="0" xfId="0" applyFont="1" applyFill="1" applyBorder="1"/>
    <xf numFmtId="0" fontId="19" fillId="0" borderId="0" xfId="0" applyFont="1"/>
    <xf numFmtId="0" fontId="10" fillId="4" borderId="3" xfId="0" applyFont="1" applyFill="1" applyBorder="1" applyAlignment="1">
      <alignment horizontal="left"/>
    </xf>
    <xf numFmtId="9" fontId="11" fillId="0" borderId="2" xfId="2" applyFont="1" applyBorder="1" applyAlignment="1">
      <alignment horizontal="center"/>
    </xf>
    <xf numFmtId="166" fontId="14" fillId="0" borderId="2" xfId="1" applyNumberFormat="1" applyFont="1" applyBorder="1" applyAlignment="1">
      <alignment horizontal="left"/>
    </xf>
    <xf numFmtId="166" fontId="14" fillId="0" borderId="2" xfId="1" applyNumberFormat="1" applyFont="1" applyBorder="1"/>
    <xf numFmtId="166" fontId="14" fillId="0" borderId="0" xfId="1" applyNumberFormat="1" applyFont="1" applyFill="1" applyBorder="1"/>
    <xf numFmtId="164" fontId="10" fillId="5" borderId="2" xfId="0" applyNumberFormat="1" applyFont="1" applyFill="1" applyBorder="1"/>
    <xf numFmtId="164" fontId="10" fillId="6" borderId="2" xfId="0" applyNumberFormat="1" applyFont="1" applyFill="1" applyBorder="1"/>
    <xf numFmtId="164" fontId="10" fillId="7" borderId="2" xfId="0" applyNumberFormat="1" applyFont="1" applyFill="1" applyBorder="1"/>
    <xf numFmtId="164" fontId="10" fillId="8" borderId="2" xfId="0" applyNumberFormat="1" applyFont="1" applyFill="1" applyBorder="1"/>
    <xf numFmtId="166" fontId="14" fillId="0" borderId="0" xfId="1" applyNumberFormat="1" applyFont="1"/>
    <xf numFmtId="164" fontId="10" fillId="0" borderId="2" xfId="0" applyNumberFormat="1" applyFont="1" applyBorder="1"/>
    <xf numFmtId="164" fontId="10" fillId="0" borderId="2" xfId="0" applyNumberFormat="1" applyFont="1" applyBorder="1" applyAlignment="1">
      <alignment horizontal="center"/>
    </xf>
    <xf numFmtId="0" fontId="20" fillId="0" borderId="2" xfId="0" applyFont="1" applyFill="1" applyBorder="1" applyAlignment="1">
      <alignment horizontal="right"/>
    </xf>
    <xf numFmtId="0" fontId="21" fillId="0" borderId="0" xfId="0" applyFont="1" applyFill="1"/>
    <xf numFmtId="0" fontId="4" fillId="0" borderId="2" xfId="0" applyFont="1" applyFill="1" applyBorder="1"/>
    <xf numFmtId="164" fontId="4" fillId="5" borderId="2" xfId="0" applyNumberFormat="1" applyFont="1" applyFill="1" applyBorder="1"/>
    <xf numFmtId="164" fontId="4" fillId="6" borderId="2" xfId="0" applyNumberFormat="1" applyFont="1" applyFill="1" applyBorder="1"/>
    <xf numFmtId="164" fontId="4" fillId="7" borderId="2" xfId="0" applyNumberFormat="1" applyFont="1" applyFill="1" applyBorder="1"/>
    <xf numFmtId="0" fontId="20" fillId="0" borderId="2" xfId="0" applyFont="1" applyBorder="1" applyAlignment="1"/>
    <xf numFmtId="0" fontId="20" fillId="0" borderId="0" xfId="0" applyFont="1" applyFill="1" applyBorder="1" applyAlignment="1"/>
    <xf numFmtId="0" fontId="20" fillId="5" borderId="2" xfId="0" applyFont="1" applyFill="1" applyBorder="1" applyAlignment="1"/>
    <xf numFmtId="0" fontId="20" fillId="6" borderId="2" xfId="0" applyFont="1" applyFill="1" applyBorder="1" applyAlignment="1"/>
    <xf numFmtId="0" fontId="20" fillId="7" borderId="2" xfId="0" applyFont="1" applyFill="1" applyBorder="1" applyAlignment="1"/>
    <xf numFmtId="0" fontId="20" fillId="8" borderId="2" xfId="0" applyFont="1" applyFill="1" applyBorder="1" applyAlignment="1"/>
    <xf numFmtId="0" fontId="15" fillId="0" borderId="2" xfId="0" applyFont="1" applyBorder="1" applyAlignment="1">
      <alignment horizontal="center"/>
    </xf>
    <xf numFmtId="0" fontId="21" fillId="0" borderId="0" xfId="0" applyFont="1"/>
    <xf numFmtId="0" fontId="6" fillId="0" borderId="2" xfId="0" applyFont="1" applyBorder="1"/>
    <xf numFmtId="164" fontId="6" fillId="5" borderId="2" xfId="0" applyNumberFormat="1" applyFont="1" applyFill="1" applyBorder="1"/>
    <xf numFmtId="164" fontId="6" fillId="0" borderId="2" xfId="0" applyNumberFormat="1" applyFont="1" applyBorder="1"/>
    <xf numFmtId="164" fontId="6" fillId="6" borderId="2" xfId="0" applyNumberFormat="1" applyFont="1" applyFill="1" applyBorder="1"/>
    <xf numFmtId="164" fontId="6" fillId="8" borderId="2" xfId="0" applyNumberFormat="1" applyFont="1" applyFill="1" applyBorder="1"/>
    <xf numFmtId="164" fontId="4" fillId="0" borderId="2" xfId="0" applyNumberFormat="1" applyFont="1" applyBorder="1"/>
    <xf numFmtId="0" fontId="4" fillId="0" borderId="2" xfId="0" applyFont="1" applyBorder="1"/>
    <xf numFmtId="0" fontId="4" fillId="0" borderId="2" xfId="0" applyFont="1" applyBorder="1" applyAlignment="1"/>
    <xf numFmtId="0" fontId="4" fillId="0" borderId="0" xfId="0" applyFont="1" applyFill="1" applyBorder="1" applyAlignment="1"/>
    <xf numFmtId="0" fontId="4" fillId="5" borderId="2" xfId="0" applyFont="1" applyFill="1" applyBorder="1" applyAlignment="1"/>
    <xf numFmtId="0" fontId="4" fillId="6" borderId="2" xfId="0" applyFont="1" applyFill="1" applyBorder="1" applyAlignment="1"/>
    <xf numFmtId="0" fontId="4" fillId="7" borderId="2" xfId="0" applyFont="1" applyFill="1" applyBorder="1" applyAlignment="1"/>
    <xf numFmtId="0" fontId="4" fillId="8" borderId="2" xfId="0" applyFont="1" applyFill="1" applyBorder="1" applyAlignment="1"/>
    <xf numFmtId="0" fontId="4" fillId="0" borderId="2" xfId="0" applyFont="1" applyBorder="1" applyAlignment="1">
      <alignment horizontal="center"/>
    </xf>
    <xf numFmtId="166" fontId="14" fillId="5" borderId="2" xfId="1" applyNumberFormat="1" applyFont="1" applyFill="1" applyBorder="1"/>
    <xf numFmtId="166" fontId="14" fillId="6" borderId="2" xfId="1" applyNumberFormat="1" applyFont="1" applyFill="1" applyBorder="1"/>
    <xf numFmtId="166" fontId="14" fillId="7" borderId="2" xfId="1" applyNumberFormat="1" applyFont="1" applyFill="1" applyBorder="1"/>
    <xf numFmtId="166" fontId="14" fillId="8" borderId="2" xfId="1" applyNumberFormat="1" applyFont="1" applyFill="1" applyBorder="1"/>
    <xf numFmtId="166" fontId="14" fillId="0" borderId="2" xfId="1" applyNumberFormat="1" applyFont="1" applyBorder="1" applyAlignment="1">
      <alignment horizontal="center"/>
    </xf>
    <xf numFmtId="0" fontId="7" fillId="2" borderId="2" xfId="0" applyFont="1" applyFill="1" applyBorder="1" applyAlignment="1">
      <alignment horizontal="center"/>
    </xf>
    <xf numFmtId="164" fontId="8" fillId="0" borderId="0" xfId="0" applyNumberFormat="1" applyFont="1"/>
    <xf numFmtId="0" fontId="20" fillId="0" borderId="2" xfId="0" applyFont="1" applyBorder="1" applyAlignment="1">
      <alignment horizontal="right"/>
    </xf>
    <xf numFmtId="0" fontId="10" fillId="0" borderId="2" xfId="0" applyFont="1" applyBorder="1"/>
    <xf numFmtId="0" fontId="10" fillId="0" borderId="0" xfId="0" applyFont="1" applyFill="1" applyBorder="1"/>
    <xf numFmtId="0" fontId="6" fillId="0" borderId="2" xfId="0" applyFont="1" applyFill="1" applyBorder="1"/>
    <xf numFmtId="164" fontId="6" fillId="0" borderId="2" xfId="0" applyNumberFormat="1" applyFont="1" applyFill="1" applyBorder="1"/>
    <xf numFmtId="164" fontId="21" fillId="0" borderId="0" xfId="0" applyNumberFormat="1" applyFont="1" applyFill="1" applyBorder="1"/>
    <xf numFmtId="0" fontId="21" fillId="0" borderId="2" xfId="0" applyFont="1" applyBorder="1"/>
    <xf numFmtId="0" fontId="21" fillId="5" borderId="2" xfId="0" applyFont="1" applyFill="1" applyBorder="1"/>
    <xf numFmtId="0" fontId="21" fillId="8" borderId="2" xfId="0" applyFont="1" applyFill="1" applyBorder="1"/>
    <xf numFmtId="164" fontId="13" fillId="0" borderId="2" xfId="0" applyNumberFormat="1" applyFont="1" applyFill="1" applyBorder="1" applyAlignment="1">
      <alignment horizontal="center"/>
    </xf>
    <xf numFmtId="0" fontId="10" fillId="0" borderId="2" xfId="0" applyFont="1" applyBorder="1" applyAlignment="1">
      <alignment horizontal="left"/>
    </xf>
    <xf numFmtId="9" fontId="13" fillId="0" borderId="2" xfId="2" applyFont="1" applyFill="1" applyBorder="1" applyAlignment="1">
      <alignment horizontal="center"/>
    </xf>
    <xf numFmtId="166" fontId="15" fillId="0" borderId="10" xfId="1" applyNumberFormat="1" applyFont="1" applyBorder="1" applyAlignment="1">
      <alignment horizontal="right"/>
    </xf>
    <xf numFmtId="166" fontId="16" fillId="0" borderId="10" xfId="1" applyNumberFormat="1" applyFont="1" applyBorder="1"/>
    <xf numFmtId="166" fontId="16" fillId="0" borderId="0" xfId="1" applyNumberFormat="1" applyFont="1" applyFill="1" applyBorder="1"/>
    <xf numFmtId="166" fontId="16" fillId="0" borderId="10" xfId="1" applyNumberFormat="1" applyFont="1" applyBorder="1" applyAlignment="1">
      <alignment horizontal="center"/>
    </xf>
    <xf numFmtId="0" fontId="4" fillId="0" borderId="0" xfId="0" applyFont="1" applyAlignment="1">
      <alignment horizontal="right"/>
    </xf>
    <xf numFmtId="0" fontId="6" fillId="0" borderId="0" xfId="0" applyFont="1" applyAlignment="1">
      <alignment horizontal="center"/>
    </xf>
    <xf numFmtId="166" fontId="6" fillId="0" borderId="0" xfId="0" applyNumberFormat="1" applyFont="1"/>
    <xf numFmtId="166" fontId="6" fillId="0" borderId="0" xfId="1" applyNumberFormat="1" applyFont="1" applyBorder="1"/>
    <xf numFmtId="0" fontId="10" fillId="0" borderId="0" xfId="0" applyFont="1" applyBorder="1"/>
    <xf numFmtId="164" fontId="10" fillId="0" borderId="0" xfId="0" applyNumberFormat="1" applyFont="1" applyBorder="1"/>
    <xf numFmtId="164" fontId="10" fillId="0" borderId="0" xfId="0" applyNumberFormat="1" applyFont="1" applyBorder="1" applyAlignment="1">
      <alignment horizontal="center"/>
    </xf>
    <xf numFmtId="9" fontId="6" fillId="0" borderId="0" xfId="2" applyFont="1" applyBorder="1" applyAlignment="1">
      <alignment horizontal="center"/>
    </xf>
    <xf numFmtId="9" fontId="6" fillId="0" borderId="0" xfId="2" applyFont="1" applyBorder="1"/>
    <xf numFmtId="0" fontId="4" fillId="0" borderId="0" xfId="0" applyFont="1" applyBorder="1"/>
    <xf numFmtId="164" fontId="4" fillId="0" borderId="0" xfId="0" applyNumberFormat="1" applyFont="1" applyBorder="1"/>
    <xf numFmtId="0" fontId="4" fillId="0" borderId="0" xfId="0" applyFont="1" applyBorder="1" applyAlignment="1">
      <alignment horizontal="center"/>
    </xf>
    <xf numFmtId="0" fontId="10" fillId="0" borderId="2" xfId="0" applyFont="1" applyBorder="1"/>
    <xf numFmtId="0" fontId="11" fillId="0" borderId="2" xfId="0" applyFont="1" applyBorder="1"/>
    <xf numFmtId="0" fontId="0" fillId="0" borderId="0" xfId="0" applyBorder="1"/>
    <xf numFmtId="0" fontId="22" fillId="0" borderId="0" xfId="0" applyFont="1" applyBorder="1" applyAlignment="1">
      <alignment horizontal="center"/>
    </xf>
    <xf numFmtId="164" fontId="11" fillId="10" borderId="2" xfId="0" applyNumberFormat="1" applyFont="1" applyFill="1" applyBorder="1"/>
    <xf numFmtId="164" fontId="13" fillId="10" borderId="2" xfId="0" applyNumberFormat="1" applyFont="1" applyFill="1" applyBorder="1"/>
    <xf numFmtId="164" fontId="14" fillId="10" borderId="2" xfId="0" applyNumberFormat="1" applyFont="1" applyFill="1" applyBorder="1"/>
    <xf numFmtId="164" fontId="10" fillId="0" borderId="2" xfId="0" applyNumberFormat="1" applyFont="1" applyFill="1" applyBorder="1"/>
    <xf numFmtId="168" fontId="13" fillId="0" borderId="2" xfId="2" applyNumberFormat="1" applyFont="1" applyFill="1" applyBorder="1"/>
    <xf numFmtId="0" fontId="15" fillId="10" borderId="2" xfId="0" applyFont="1" applyFill="1" applyBorder="1" applyAlignment="1"/>
    <xf numFmtId="166" fontId="15" fillId="10" borderId="2" xfId="1" applyNumberFormat="1" applyFont="1" applyFill="1" applyBorder="1" applyAlignment="1"/>
    <xf numFmtId="164" fontId="13" fillId="0" borderId="2" xfId="0" applyNumberFormat="1" applyFont="1" applyBorder="1"/>
    <xf numFmtId="167" fontId="11" fillId="0" borderId="2" xfId="0" applyNumberFormat="1" applyFont="1" applyBorder="1"/>
    <xf numFmtId="164" fontId="14" fillId="0" borderId="2" xfId="0" applyNumberFormat="1" applyFont="1" applyFill="1" applyBorder="1"/>
    <xf numFmtId="9" fontId="6" fillId="0" borderId="0" xfId="2" applyFont="1" applyFill="1"/>
    <xf numFmtId="0" fontId="10" fillId="4" borderId="2" xfId="0" applyFont="1" applyFill="1" applyBorder="1" applyAlignment="1">
      <alignment horizontal="right"/>
    </xf>
    <xf numFmtId="164" fontId="23" fillId="0" borderId="2" xfId="0" applyNumberFormat="1" applyFont="1" applyFill="1" applyBorder="1"/>
    <xf numFmtId="164" fontId="10" fillId="10" borderId="2" xfId="0" applyNumberFormat="1" applyFont="1" applyFill="1" applyBorder="1"/>
    <xf numFmtId="164" fontId="4" fillId="8" borderId="2" xfId="0" applyNumberFormat="1" applyFont="1" applyFill="1" applyBorder="1"/>
    <xf numFmtId="164" fontId="4" fillId="10" borderId="2" xfId="0" applyNumberFormat="1" applyFont="1" applyFill="1" applyBorder="1"/>
    <xf numFmtId="0" fontId="20" fillId="10" borderId="2" xfId="0" applyFont="1" applyFill="1" applyBorder="1" applyAlignment="1"/>
    <xf numFmtId="0" fontId="20" fillId="0" borderId="2" xfId="0" applyFont="1" applyFill="1" applyBorder="1" applyAlignment="1"/>
    <xf numFmtId="0" fontId="4" fillId="10" borderId="2" xfId="0" applyFont="1" applyFill="1" applyBorder="1" applyAlignment="1"/>
    <xf numFmtId="0" fontId="4" fillId="0" borderId="2" xfId="0" applyFont="1" applyFill="1" applyBorder="1" applyAlignment="1"/>
    <xf numFmtId="166" fontId="14" fillId="10" borderId="2" xfId="1" applyNumberFormat="1" applyFont="1" applyFill="1" applyBorder="1"/>
    <xf numFmtId="166" fontId="14" fillId="0" borderId="2" xfId="1" applyNumberFormat="1" applyFont="1" applyFill="1" applyBorder="1"/>
    <xf numFmtId="0" fontId="21" fillId="6" borderId="2" xfId="0" applyFont="1" applyFill="1" applyBorder="1"/>
    <xf numFmtId="164" fontId="24" fillId="0" borderId="0" xfId="0" applyNumberFormat="1" applyFont="1" applyBorder="1"/>
    <xf numFmtId="164" fontId="6" fillId="11" borderId="0" xfId="0" applyNumberFormat="1" applyFont="1" applyFill="1"/>
    <xf numFmtId="164" fontId="11" fillId="10" borderId="0" xfId="0" applyNumberFormat="1" applyFont="1" applyFill="1" applyBorder="1"/>
    <xf numFmtId="167" fontId="6" fillId="0" borderId="0" xfId="3" applyNumberFormat="1" applyFont="1" applyBorder="1"/>
    <xf numFmtId="167" fontId="6" fillId="0" borderId="0" xfId="0" applyNumberFormat="1" applyFont="1" applyBorder="1"/>
    <xf numFmtId="0" fontId="10" fillId="4" borderId="3" xfId="0" applyFont="1" applyFill="1" applyBorder="1"/>
    <xf numFmtId="43" fontId="6" fillId="0" borderId="0" xfId="1" applyFont="1"/>
    <xf numFmtId="169" fontId="6" fillId="0" borderId="0" xfId="0" applyNumberFormat="1" applyFont="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1" xfId="0" applyFont="1" applyFill="1" applyBorder="1" applyAlignment="1">
      <alignment horizontal="center"/>
    </xf>
    <xf numFmtId="9" fontId="11" fillId="0" borderId="7" xfId="2" applyFont="1" applyBorder="1" applyAlignment="1">
      <alignment horizontal="center" vertical="center" wrapText="1"/>
    </xf>
    <xf numFmtId="9" fontId="11" fillId="0" borderId="8" xfId="2" applyFont="1" applyBorder="1" applyAlignment="1">
      <alignment horizontal="center" vertical="center" wrapText="1"/>
    </xf>
    <xf numFmtId="9" fontId="11" fillId="0" borderId="9" xfId="2" applyFont="1" applyBorder="1" applyAlignment="1">
      <alignment horizontal="center" vertical="center" wrapText="1"/>
    </xf>
    <xf numFmtId="9" fontId="11" fillId="0" borderId="7" xfId="2" applyFont="1" applyBorder="1" applyAlignment="1">
      <alignment horizontal="center" vertical="top" wrapText="1"/>
    </xf>
    <xf numFmtId="9" fontId="11" fillId="0" borderId="8" xfId="2" applyFont="1" applyBorder="1" applyAlignment="1">
      <alignment horizontal="center" vertical="top"/>
    </xf>
    <xf numFmtId="9" fontId="11" fillId="0" borderId="9" xfId="2" applyFont="1" applyBorder="1" applyAlignment="1">
      <alignment horizontal="center" vertical="top"/>
    </xf>
    <xf numFmtId="9" fontId="11" fillId="0" borderId="8" xfId="2" applyFont="1" applyBorder="1" applyAlignment="1">
      <alignment horizontal="center" vertical="top" wrapText="1"/>
    </xf>
    <xf numFmtId="9" fontId="11" fillId="0" borderId="9" xfId="2" applyFont="1" applyBorder="1" applyAlignment="1">
      <alignment horizontal="center" vertical="top" wrapText="1"/>
    </xf>
    <xf numFmtId="164" fontId="11" fillId="0" borderId="7" xfId="0" applyNumberFormat="1" applyFont="1" applyFill="1" applyBorder="1" applyAlignment="1">
      <alignment horizontal="center"/>
    </xf>
    <xf numFmtId="164" fontId="11" fillId="0" borderId="8" xfId="0" applyNumberFormat="1" applyFont="1" applyFill="1" applyBorder="1" applyAlignment="1">
      <alignment horizontal="center"/>
    </xf>
    <xf numFmtId="164" fontId="11" fillId="0" borderId="9" xfId="0" applyNumberFormat="1" applyFont="1" applyFill="1" applyBorder="1" applyAlignment="1">
      <alignment horizontal="center"/>
    </xf>
    <xf numFmtId="9" fontId="11" fillId="0" borderId="7" xfId="2" applyFont="1" applyFill="1" applyBorder="1" applyAlignment="1">
      <alignment horizontal="center" vertical="top" wrapText="1"/>
    </xf>
    <xf numFmtId="9" fontId="11" fillId="0" borderId="8" xfId="2" applyFont="1" applyFill="1" applyBorder="1" applyAlignment="1">
      <alignment horizontal="center" vertical="top" wrapText="1"/>
    </xf>
    <xf numFmtId="9" fontId="11" fillId="0" borderId="9" xfId="2" applyFont="1" applyFill="1" applyBorder="1" applyAlignment="1">
      <alignment horizontal="center" vertical="top" wrapText="1"/>
    </xf>
    <xf numFmtId="0" fontId="11" fillId="0" borderId="7" xfId="0" applyNumberFormat="1" applyFont="1" applyFill="1" applyBorder="1" applyAlignment="1">
      <alignment horizontal="center" vertical="top" wrapText="1"/>
    </xf>
    <xf numFmtId="0" fontId="11" fillId="0" borderId="8" xfId="0" applyNumberFormat="1" applyFont="1" applyFill="1" applyBorder="1" applyAlignment="1">
      <alignment horizontal="center" vertical="top" wrapText="1"/>
    </xf>
    <xf numFmtId="0" fontId="11" fillId="0" borderId="9"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1" fillId="0" borderId="7" xfId="0" applyNumberFormat="1" applyFont="1" applyBorder="1" applyAlignment="1">
      <alignment horizontal="center" vertical="top" wrapText="1"/>
    </xf>
    <xf numFmtId="0" fontId="11" fillId="0" borderId="8" xfId="0" applyNumberFormat="1" applyFont="1" applyBorder="1" applyAlignment="1">
      <alignment horizontal="center" vertical="top" wrapText="1"/>
    </xf>
    <xf numFmtId="0" fontId="11" fillId="0" borderId="9" xfId="0" applyNumberFormat="1" applyFont="1" applyBorder="1" applyAlignment="1">
      <alignment horizontal="center" vertical="top" wrapText="1"/>
    </xf>
    <xf numFmtId="0" fontId="10" fillId="0" borderId="2" xfId="0" applyFont="1" applyBorder="1"/>
    <xf numFmtId="0" fontId="22" fillId="0" borderId="0" xfId="0" applyFont="1" applyBorder="1" applyAlignment="1">
      <alignment horizontal="center"/>
    </xf>
    <xf numFmtId="0" fontId="7" fillId="2" borderId="2" xfId="0" applyFont="1" applyFill="1" applyBorder="1" applyAlignment="1">
      <alignment horizontal="center"/>
    </xf>
    <xf numFmtId="164" fontId="11" fillId="11" borderId="2" xfId="0" applyNumberFormat="1" applyFont="1" applyFill="1" applyBorder="1"/>
  </cellXfs>
  <cellStyles count="4">
    <cellStyle name="Comma" xfId="1" builtinId="3"/>
    <cellStyle name="Currency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235;le%20Administratie/F&amp;C/Jaarplanning%202008/herziene%20begroting%202008/herziene%20begroting%202008%20versie%205%20herverdee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20schijf%20Documents%20Hans%20C\Country%20prog%20MAP%20SP%20PP3\Kosts%20per%20country%20programme\Mozambique%20overview%20office%20running%20costs%20and%20staf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broeze\Documents\NIMD\Uurtarieven%20input\Uurtarieven%20en%20dagtarieven%20A%20en%20B%20per%20medewerker%20fina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noren%20(ODR-Bureau's)\EU\02.contracten\02.azie\154338%20CSO%20Indonesia_17%20SPEAK\2.%20Contract\Project%20Wizard%202016-02sep17%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ectie/Directie%20-%20MT/Harrie%20Dijkstra/Annual%20Accounts/2019/SP%20+%20DfS%202019%20income%20registra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dijkstra\AppData\Local\Microsoft\Windows\INetCache\Content.Outlook\2LRTSPFN\Budget%20KSR%20DfS-WD-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roting 2008, nieuwe vorm"/>
      <sheetName val="toerekening naar programma"/>
      <sheetName val="salariskosten per categorie"/>
      <sheetName val="- begroting 2008"/>
      <sheetName val="kortingen"/>
      <sheetName val="- 3.1 WARP"/>
      <sheetName val="- 3.2 Ghana"/>
      <sheetName val="- 3.3 Mali"/>
      <sheetName val="- 3.4 ESARP"/>
      <sheetName val="- 3.5 Kenya"/>
      <sheetName val="- 3.6 Malawi"/>
      <sheetName val="- 3.7 Mozambique"/>
      <sheetName val="- 3.8 Tanzania"/>
      <sheetName val="- 3.9 South Africa"/>
      <sheetName val="- 3.10 Zambia"/>
      <sheetName val="- 3.11 Zimbabwe"/>
      <sheetName val="- 4.2 Indonesia"/>
      <sheetName val="- 4.3 Georgia"/>
      <sheetName val="- 4.5 Afghanistan"/>
      <sheetName val="- 4.6 Burundi"/>
      <sheetName val="- 5.1 LARP"/>
      <sheetName val="- 5.2 M&amp;P"/>
      <sheetName val="- 5.3 Bolivia"/>
      <sheetName val="- 5.4 Ecuador"/>
      <sheetName val="- 5.5 Guatemala"/>
      <sheetName val="- 5.6 Nicaragua"/>
      <sheetName val="- 5.7 Suriname"/>
      <sheetName val="- 6 Network Activities"/>
      <sheetName val="- 7 Institutional Capacity"/>
    </sheetNames>
    <sheetDataSet>
      <sheetData sheetId="0"/>
      <sheetData sheetId="1"/>
      <sheetData sheetId="2"/>
      <sheetData sheetId="3"/>
      <sheetData sheetId="4"/>
      <sheetData sheetId="5"/>
      <sheetData sheetId="6"/>
      <sheetData sheetId="7"/>
      <sheetData sheetId="8"/>
      <sheetData sheetId="9"/>
      <sheetData sheetId="10"/>
      <sheetData sheetId="11">
        <row r="2">
          <cell r="B2" t="str">
            <v>General objectives &amp; Programme specific objectives</v>
          </cell>
          <cell r="C2" t="str">
            <v>Expected results/outcomes</v>
          </cell>
          <cell r="D2" t="str">
            <v>Performance indicators</v>
          </cell>
          <cell r="E2" t="str">
            <v>Activities</v>
          </cell>
          <cell r="F2" t="str">
            <v>Budget through NIMD accounts</v>
          </cell>
          <cell r="H2" t="str">
            <v>Additional funding by others not through NIMD accounts</v>
          </cell>
        </row>
        <row r="3">
          <cell r="B3" t="str">
            <v>Overarching objective: Improved Multiparty Democracy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CCB"/>
      <sheetName val="CCT"/>
      <sheetName val="CCTPivot"/>
      <sheetName val="Date_Lup"/>
      <sheetName val="Ledger Transaction Details"/>
      <sheetName val="Lookup"/>
      <sheetName val="Instructions"/>
      <sheetName val="MENU"/>
      <sheetName val="MissingBudTrans"/>
      <sheetName val="Details Mozambique Office"/>
    </sheetNames>
    <sheetDataSet>
      <sheetData sheetId="0"/>
      <sheetData sheetId="1"/>
      <sheetData sheetId="2"/>
      <sheetData sheetId="3"/>
      <sheetData sheetId="4"/>
      <sheetData sheetId="5"/>
      <sheetData sheetId="6">
        <row r="24">
          <cell r="D24">
            <v>22441220.279999997</v>
          </cell>
        </row>
      </sheetData>
      <sheetData sheetId="7"/>
      <sheetData sheetId="8">
        <row r="1">
          <cell r="A1" t="str">
            <v>December 2014</v>
          </cell>
        </row>
        <row r="3">
          <cell r="A3">
            <v>12</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 vs flexibel"/>
      <sheetName val="dekkingsgraad"/>
      <sheetName val="uur en dagtarieven A en B"/>
      <sheetName val="aantal productieve uren p. jaar"/>
      <sheetName val="Salaristabel"/>
      <sheetName val="begroting 2017 kosten"/>
    </sheetNames>
    <sheetDataSet>
      <sheetData sheetId="0"/>
      <sheetData sheetId="1"/>
      <sheetData sheetId="2"/>
      <sheetData sheetId="3"/>
      <sheetData sheetId="4">
        <row r="3">
          <cell r="C3" t="str">
            <v>Trede00</v>
          </cell>
          <cell r="D3" t="str">
            <v>Trede01</v>
          </cell>
          <cell r="E3" t="str">
            <v>Trede02</v>
          </cell>
          <cell r="F3" t="str">
            <v>Trede03</v>
          </cell>
          <cell r="G3" t="str">
            <v>Trede04</v>
          </cell>
          <cell r="H3" t="str">
            <v>Trede05</v>
          </cell>
          <cell r="I3" t="str">
            <v>Trede06</v>
          </cell>
          <cell r="J3" t="str">
            <v>Trede07</v>
          </cell>
          <cell r="K3" t="str">
            <v>Trede08</v>
          </cell>
          <cell r="L3" t="str">
            <v>Trede09</v>
          </cell>
          <cell r="M3" t="str">
            <v>Trede10</v>
          </cell>
          <cell r="N3" t="str">
            <v>Trede11</v>
          </cell>
          <cell r="O3" t="str">
            <v>Trede12</v>
          </cell>
          <cell r="P3" t="str">
            <v>Trede13</v>
          </cell>
        </row>
        <row r="4">
          <cell r="A4" t="str">
            <v>Minimum</v>
          </cell>
        </row>
        <row r="5">
          <cell r="A5" t="str">
            <v>Schaal01</v>
          </cell>
        </row>
        <row r="6">
          <cell r="A6" t="str">
            <v>Schaal02</v>
          </cell>
        </row>
        <row r="7">
          <cell r="A7" t="str">
            <v>Schaal03</v>
          </cell>
        </row>
        <row r="8">
          <cell r="A8" t="str">
            <v>Schaal04</v>
          </cell>
        </row>
        <row r="9">
          <cell r="A9" t="str">
            <v>Schaal05</v>
          </cell>
        </row>
        <row r="10">
          <cell r="A10" t="str">
            <v>Schaal06</v>
          </cell>
        </row>
        <row r="11">
          <cell r="A11" t="str">
            <v>Schaal07</v>
          </cell>
        </row>
        <row r="12">
          <cell r="A12" t="str">
            <v>Schaal08</v>
          </cell>
        </row>
        <row r="13">
          <cell r="A13" t="str">
            <v>Schaal09</v>
          </cell>
        </row>
        <row r="14">
          <cell r="A14" t="str">
            <v>Schaal10</v>
          </cell>
        </row>
        <row r="15">
          <cell r="A15" t="str">
            <v>Schaal11</v>
          </cell>
        </row>
        <row r="16">
          <cell r="A16" t="str">
            <v>Schaal12</v>
          </cell>
        </row>
        <row r="17">
          <cell r="A17" t="str">
            <v>Schaal13</v>
          </cell>
        </row>
        <row r="18">
          <cell r="A18" t="str">
            <v>Schaal14</v>
          </cell>
        </row>
        <row r="19">
          <cell r="A19" t="str">
            <v>Schaal15</v>
          </cell>
        </row>
        <row r="20">
          <cell r="A20" t="str">
            <v>Schaal16</v>
          </cell>
        </row>
        <row r="21">
          <cell r="A21" t="str">
            <v>Schaal17</v>
          </cell>
        </row>
        <row r="22">
          <cell r="A22" t="str">
            <v>Schaal18</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days"/>
      <sheetName val="Instruction Sheet"/>
      <sheetName val="Budget"/>
      <sheetName val="1. Budget Hivos "/>
      <sheetName val="Pivot Budget"/>
      <sheetName val="Support sheet"/>
      <sheetName val="Regranting"/>
      <sheetName val="Sheet5"/>
    </sheetNames>
    <sheetDataSet>
      <sheetData sheetId="0"/>
      <sheetData sheetId="1"/>
      <sheetData sheetId="2"/>
      <sheetData sheetId="3"/>
      <sheetData sheetId="4"/>
      <sheetData sheetId="5">
        <row r="87">
          <cell r="A87" t="str">
            <v>In progress</v>
          </cell>
        </row>
        <row r="88">
          <cell r="A88" t="str">
            <v>Completed</v>
          </cell>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S"/>
      <sheetName val="SP"/>
      <sheetName val="TwinCube"/>
      <sheetName val="TwinCube data"/>
      <sheetName val="SP + DfS 2019 income registrati"/>
    </sheetNames>
    <sheetDataSet>
      <sheetData sheetId="0" refreshError="1"/>
      <sheetData sheetId="1" refreshError="1"/>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ersoneel"/>
      <sheetName val="DFS Activity Plan - Oct 17"/>
      <sheetName val="Budget 2018"/>
      <sheetName val="MYR 2017 intern DfS"/>
      <sheetName val="samenvatting 2017"/>
      <sheetName val="internal budget 2017"/>
      <sheetName val="colombia"/>
      <sheetName val="jordan"/>
      <sheetName val="lebanon"/>
      <sheetName val="Tunesie"/>
      <sheetName val="Burundi"/>
      <sheetName val="Ukrain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0"/>
  <sheetViews>
    <sheetView showGridLines="0" view="pageBreakPreview" zoomScale="70" zoomScaleNormal="70" zoomScaleSheetLayoutView="70" workbookViewId="0">
      <pane xSplit="3" ySplit="4" topLeftCell="D143" activePane="bottomRight" state="frozen"/>
      <selection pane="topRight" activeCell="D1" sqref="D1"/>
      <selection pane="bottomLeft" activeCell="A5" sqref="A5"/>
      <selection pane="bottomRight" activeCell="G161" sqref="G161:G165"/>
    </sheetView>
  </sheetViews>
  <sheetFormatPr defaultColWidth="18" defaultRowHeight="18" x14ac:dyDescent="0.25"/>
  <cols>
    <col min="1" max="1" width="18" style="166"/>
    <col min="2" max="2" width="85.7109375" style="8" bestFit="1" customWidth="1"/>
    <col min="3" max="3" width="2.140625" style="9" customWidth="1"/>
    <col min="4" max="8" width="20" style="8" customWidth="1"/>
    <col min="9" max="9" width="20" style="167" customWidth="1"/>
    <col min="10" max="10" width="2.140625" style="9" customWidth="1"/>
    <col min="11" max="11" width="122.140625" style="167" customWidth="1"/>
    <col min="12" max="12" width="2.140625" style="9" customWidth="1"/>
    <col min="13" max="18" width="20" style="8" hidden="1" customWidth="1"/>
    <col min="19" max="19" width="11.140625" style="8" hidden="1" customWidth="1"/>
    <col min="20" max="20" width="19.28515625" style="8" hidden="1" customWidth="1"/>
    <col min="21" max="21" width="18" style="8" customWidth="1"/>
    <col min="22" max="16384" width="18" style="8"/>
  </cols>
  <sheetData>
    <row r="1" spans="1:19" s="2" customFormat="1" ht="26.25" x14ac:dyDescent="0.4">
      <c r="A1" s="1" t="s">
        <v>98</v>
      </c>
      <c r="C1" s="4"/>
      <c r="D1" s="1"/>
      <c r="E1" s="3"/>
      <c r="F1" s="3"/>
      <c r="G1" s="1"/>
      <c r="H1" s="3"/>
      <c r="I1" s="5"/>
      <c r="J1" s="4"/>
      <c r="K1" s="5"/>
      <c r="L1" s="4"/>
      <c r="M1" s="1"/>
      <c r="N1" s="3"/>
      <c r="O1" s="1"/>
      <c r="P1" s="3"/>
      <c r="Q1" s="1"/>
      <c r="R1" s="3"/>
      <c r="S1" s="1"/>
    </row>
    <row r="2" spans="1:19" x14ac:dyDescent="0.25">
      <c r="A2" s="6"/>
      <c r="B2" s="7"/>
      <c r="D2" s="10"/>
      <c r="E2" s="11"/>
      <c r="F2" s="11"/>
      <c r="G2" s="10"/>
      <c r="H2" s="11"/>
      <c r="I2" s="12"/>
      <c r="K2" s="12"/>
      <c r="M2" s="10"/>
      <c r="N2" s="11"/>
      <c r="O2" s="10"/>
      <c r="P2" s="11"/>
      <c r="Q2" s="10"/>
      <c r="R2" s="11"/>
      <c r="S2" s="10"/>
    </row>
    <row r="3" spans="1:19" ht="36" x14ac:dyDescent="0.25">
      <c r="A3" s="6"/>
      <c r="B3" s="13"/>
      <c r="D3" s="14" t="s">
        <v>0</v>
      </c>
      <c r="E3" s="14" t="s">
        <v>1</v>
      </c>
      <c r="F3" s="14" t="s">
        <v>1</v>
      </c>
      <c r="G3" s="14" t="s">
        <v>2</v>
      </c>
      <c r="H3" s="15"/>
      <c r="I3" s="14"/>
      <c r="K3" s="14"/>
      <c r="M3" s="14" t="s">
        <v>0</v>
      </c>
      <c r="N3" s="14" t="s">
        <v>1</v>
      </c>
      <c r="O3" s="14" t="s">
        <v>0</v>
      </c>
      <c r="P3" s="14" t="s">
        <v>1</v>
      </c>
      <c r="Q3" s="14" t="s">
        <v>0</v>
      </c>
      <c r="R3" s="14" t="s">
        <v>1</v>
      </c>
      <c r="S3" s="14" t="s">
        <v>2</v>
      </c>
    </row>
    <row r="4" spans="1:19" s="19" customFormat="1" ht="20.25" x14ac:dyDescent="0.3">
      <c r="A4" s="16"/>
      <c r="B4" s="16"/>
      <c r="C4" s="16"/>
      <c r="D4" s="213">
        <v>2020</v>
      </c>
      <c r="E4" s="214"/>
      <c r="F4" s="214"/>
      <c r="G4" s="215"/>
      <c r="H4" s="17"/>
      <c r="I4" s="17"/>
      <c r="J4" s="17"/>
      <c r="K4" s="17" t="s">
        <v>3</v>
      </c>
      <c r="L4" s="18"/>
      <c r="M4" s="213">
        <v>2019</v>
      </c>
      <c r="N4" s="214"/>
      <c r="O4" s="213">
        <v>2020</v>
      </c>
      <c r="P4" s="215"/>
      <c r="Q4" s="216" t="s">
        <v>4</v>
      </c>
      <c r="R4" s="217"/>
      <c r="S4" s="217"/>
    </row>
    <row r="5" spans="1:19" s="19" customFormat="1" ht="20.25" x14ac:dyDescent="0.3">
      <c r="A5" s="16" t="s">
        <v>5</v>
      </c>
      <c r="B5" s="16" t="s">
        <v>6</v>
      </c>
      <c r="C5" s="16"/>
      <c r="D5" s="213"/>
      <c r="E5" s="214"/>
      <c r="F5" s="214"/>
      <c r="G5" s="215"/>
      <c r="H5" s="17"/>
      <c r="I5" s="17"/>
      <c r="J5" s="17"/>
      <c r="K5" s="17"/>
      <c r="L5" s="18"/>
      <c r="M5" s="213">
        <v>2019</v>
      </c>
      <c r="N5" s="214"/>
      <c r="O5" s="213">
        <v>2020</v>
      </c>
      <c r="P5" s="215"/>
      <c r="Q5" s="216" t="s">
        <v>4</v>
      </c>
      <c r="R5" s="217"/>
      <c r="S5" s="217"/>
    </row>
    <row r="6" spans="1:19" s="23" customFormat="1" ht="18.75" x14ac:dyDescent="0.3">
      <c r="A6" s="20" t="s">
        <v>7</v>
      </c>
      <c r="B6" s="20" t="s">
        <v>8</v>
      </c>
      <c r="C6" s="20"/>
      <c r="D6" s="20"/>
      <c r="E6" s="20"/>
      <c r="F6" s="20"/>
      <c r="G6" s="20"/>
      <c r="H6" s="20"/>
      <c r="I6" s="21"/>
      <c r="J6" s="21"/>
      <c r="K6" s="21"/>
      <c r="L6" s="22"/>
      <c r="M6" s="20"/>
      <c r="N6" s="20"/>
      <c r="O6" s="20"/>
      <c r="P6" s="20"/>
      <c r="Q6" s="20"/>
      <c r="R6" s="20"/>
      <c r="S6" s="20"/>
    </row>
    <row r="7" spans="1:19" s="29" customFormat="1" x14ac:dyDescent="0.25">
      <c r="A7" s="24" t="s">
        <v>9</v>
      </c>
      <c r="B7" s="25" t="s">
        <v>10</v>
      </c>
      <c r="C7" s="26"/>
      <c r="D7" s="26"/>
      <c r="E7" s="26"/>
      <c r="F7" s="26"/>
      <c r="G7" s="26"/>
      <c r="H7" s="26"/>
      <c r="I7" s="27"/>
      <c r="J7" s="27"/>
      <c r="K7" s="27"/>
      <c r="L7" s="28"/>
      <c r="M7" s="26"/>
      <c r="N7" s="26"/>
      <c r="O7" s="26"/>
      <c r="P7" s="26"/>
      <c r="Q7" s="26"/>
      <c r="R7" s="26"/>
      <c r="S7" s="26"/>
    </row>
    <row r="8" spans="1:19" x14ac:dyDescent="0.25">
      <c r="A8" s="30"/>
      <c r="B8" s="31" t="s">
        <v>11</v>
      </c>
      <c r="C8" s="33"/>
      <c r="D8" s="34">
        <v>24677.454229999999</v>
      </c>
      <c r="E8" s="35">
        <v>55006.832733494601</v>
      </c>
      <c r="F8" s="36">
        <v>53325.612602513422</v>
      </c>
      <c r="G8" s="37">
        <v>16966.621056770324</v>
      </c>
      <c r="H8" s="38"/>
      <c r="I8" s="39">
        <f t="shared" ref="I8:I17" si="0">IFERROR(G8/F8,0)</f>
        <v>0.31817020431136367</v>
      </c>
      <c r="J8" s="33"/>
      <c r="K8" s="221" t="s">
        <v>12</v>
      </c>
      <c r="L8" s="33"/>
      <c r="M8" s="34">
        <v>24677.454229999999</v>
      </c>
      <c r="N8" s="35">
        <v>49162</v>
      </c>
      <c r="O8" s="34">
        <v>25947.347227999999</v>
      </c>
      <c r="P8" s="35"/>
      <c r="Q8" s="34" t="e">
        <f>+#REF!+#REF!+D8+M8+O8</f>
        <v>#REF!</v>
      </c>
      <c r="R8" s="35" t="e">
        <f>+#REF!+#REF!+E8+N8+O8</f>
        <v>#REF!</v>
      </c>
      <c r="S8" s="37"/>
    </row>
    <row r="9" spans="1:19" x14ac:dyDescent="0.25">
      <c r="A9" s="30"/>
      <c r="B9" s="31" t="s">
        <v>13</v>
      </c>
      <c r="C9" s="33"/>
      <c r="D9" s="34">
        <v>104069.49201</v>
      </c>
      <c r="E9" s="35">
        <v>0</v>
      </c>
      <c r="F9" s="36">
        <v>0</v>
      </c>
      <c r="G9" s="37">
        <v>0</v>
      </c>
      <c r="H9" s="38"/>
      <c r="I9" s="39">
        <f t="shared" si="0"/>
        <v>0</v>
      </c>
      <c r="J9" s="33"/>
      <c r="K9" s="222"/>
      <c r="L9" s="33"/>
      <c r="M9" s="34">
        <v>104069.49201</v>
      </c>
      <c r="N9" s="35">
        <v>43000</v>
      </c>
      <c r="O9" s="34">
        <v>72976.394964000006</v>
      </c>
      <c r="P9" s="35"/>
      <c r="Q9" s="34" t="e">
        <f>+#REF!+#REF!+D9+M9+O9</f>
        <v>#REF!</v>
      </c>
      <c r="R9" s="35" t="e">
        <f>+#REF!+#REF!+E9+N9+O9</f>
        <v>#REF!</v>
      </c>
      <c r="S9" s="37"/>
    </row>
    <row r="10" spans="1:19" s="43" customFormat="1" x14ac:dyDescent="0.25">
      <c r="A10" s="40"/>
      <c r="B10" s="41" t="s">
        <v>14</v>
      </c>
      <c r="C10" s="33"/>
      <c r="D10" s="34">
        <v>51594.780006000001</v>
      </c>
      <c r="E10" s="35">
        <v>54292.583633252696</v>
      </c>
      <c r="F10" s="36">
        <v>52635.532951796566</v>
      </c>
      <c r="G10" s="37">
        <v>140294.69443652988</v>
      </c>
      <c r="H10" s="42"/>
      <c r="I10" s="39">
        <f t="shared" si="0"/>
        <v>2.6653989533080491</v>
      </c>
      <c r="J10" s="33"/>
      <c r="K10" s="222"/>
      <c r="L10" s="33"/>
      <c r="M10" s="34">
        <v>51594.780006000001</v>
      </c>
      <c r="N10" s="35">
        <v>124274</v>
      </c>
      <c r="O10" s="34">
        <v>36166.043034000002</v>
      </c>
      <c r="P10" s="35"/>
      <c r="Q10" s="34" t="e">
        <f>+#REF!+#REF!+D10+M10+O10</f>
        <v>#REF!</v>
      </c>
      <c r="R10" s="35" t="e">
        <f>+#REF!+#REF!+E10+N10+O10</f>
        <v>#REF!</v>
      </c>
      <c r="S10" s="37"/>
    </row>
    <row r="11" spans="1:19" s="43" customFormat="1" x14ac:dyDescent="0.25">
      <c r="A11" s="40"/>
      <c r="B11" s="41" t="s">
        <v>15</v>
      </c>
      <c r="C11" s="33"/>
      <c r="D11" s="34">
        <v>476.76565199999999</v>
      </c>
      <c r="E11" s="35">
        <v>54292.583633252696</v>
      </c>
      <c r="F11" s="36">
        <v>52630.854445690013</v>
      </c>
      <c r="G11" s="37">
        <v>11869.996122364904</v>
      </c>
      <c r="H11" s="42"/>
      <c r="I11" s="39">
        <f t="shared" si="0"/>
        <v>0.22553303090706234</v>
      </c>
      <c r="J11" s="33"/>
      <c r="K11" s="222"/>
      <c r="L11" s="33"/>
      <c r="M11" s="34">
        <v>476.76565199999999</v>
      </c>
      <c r="N11" s="35">
        <v>15128</v>
      </c>
      <c r="O11" s="34">
        <v>502.20977400000004</v>
      </c>
      <c r="P11" s="35"/>
      <c r="Q11" s="34" t="e">
        <f>+#REF!+#REF!+D11+M11+O11</f>
        <v>#REF!</v>
      </c>
      <c r="R11" s="35" t="e">
        <f>+#REF!+#REF!+E11+N11+O11</f>
        <v>#REF!</v>
      </c>
      <c r="S11" s="37"/>
    </row>
    <row r="12" spans="1:19" s="43" customFormat="1" x14ac:dyDescent="0.25">
      <c r="A12" s="40"/>
      <c r="B12" s="41" t="s">
        <v>16</v>
      </c>
      <c r="C12" s="33"/>
      <c r="D12" s="34">
        <v>16937.195</v>
      </c>
      <c r="E12" s="35">
        <v>16937</v>
      </c>
      <c r="F12" s="36">
        <v>4000</v>
      </c>
      <c r="G12" s="37">
        <v>206.24</v>
      </c>
      <c r="H12" s="42"/>
      <c r="I12" s="39">
        <f t="shared" si="0"/>
        <v>5.1560000000000002E-2</v>
      </c>
      <c r="J12" s="33"/>
      <c r="K12" s="222"/>
      <c r="L12" s="33"/>
      <c r="M12" s="34">
        <v>16937.195</v>
      </c>
      <c r="N12" s="35">
        <v>16937</v>
      </c>
      <c r="O12" s="34">
        <v>16937.195</v>
      </c>
      <c r="P12" s="35"/>
      <c r="Q12" s="34" t="e">
        <f>+#REF!+#REF!+D12+M12+O12</f>
        <v>#REF!</v>
      </c>
      <c r="R12" s="35" t="e">
        <f>+#REF!+#REF!+E12+N12+O12</f>
        <v>#REF!</v>
      </c>
      <c r="S12" s="37"/>
    </row>
    <row r="13" spans="1:19" s="43" customFormat="1" x14ac:dyDescent="0.25">
      <c r="A13" s="40"/>
      <c r="B13" s="41" t="s">
        <v>17</v>
      </c>
      <c r="C13" s="33"/>
      <c r="D13" s="34">
        <v>19000</v>
      </c>
      <c r="E13" s="35">
        <v>19000</v>
      </c>
      <c r="F13" s="36">
        <v>19000</v>
      </c>
      <c r="G13" s="37">
        <v>0</v>
      </c>
      <c r="H13" s="42"/>
      <c r="I13" s="39">
        <f t="shared" si="0"/>
        <v>0</v>
      </c>
      <c r="J13" s="33"/>
      <c r="K13" s="222"/>
      <c r="L13" s="33"/>
      <c r="M13" s="34">
        <v>19000</v>
      </c>
      <c r="N13" s="35">
        <v>19000</v>
      </c>
      <c r="O13" s="34">
        <v>19000</v>
      </c>
      <c r="P13" s="35"/>
      <c r="Q13" s="34" t="e">
        <f>+#REF!+#REF!+D13+M13+O13</f>
        <v>#REF!</v>
      </c>
      <c r="R13" s="35" t="e">
        <f>+#REF!+#REF!+E13+N13+O13</f>
        <v>#REF!</v>
      </c>
      <c r="S13" s="37"/>
    </row>
    <row r="14" spans="1:19" s="43" customFormat="1" x14ac:dyDescent="0.25">
      <c r="A14" s="40"/>
      <c r="B14" s="41" t="s">
        <v>18</v>
      </c>
      <c r="C14" s="33"/>
      <c r="D14" s="34">
        <v>42749.630999999994</v>
      </c>
      <c r="E14" s="35">
        <v>15000</v>
      </c>
      <c r="F14" s="36">
        <v>20000</v>
      </c>
      <c r="G14" s="37">
        <v>20508.928384334893</v>
      </c>
      <c r="H14" s="42"/>
      <c r="I14" s="39">
        <f t="shared" si="0"/>
        <v>1.0254464192167447</v>
      </c>
      <c r="J14" s="33"/>
      <c r="K14" s="222"/>
      <c r="L14" s="33"/>
      <c r="M14" s="34">
        <v>42749.630999999994</v>
      </c>
      <c r="N14" s="35">
        <v>20000</v>
      </c>
      <c r="O14" s="34">
        <v>42749.630999999994</v>
      </c>
      <c r="P14" s="35"/>
      <c r="Q14" s="34" t="e">
        <f>+#REF!+#REF!+D14+M14+O14</f>
        <v>#REF!</v>
      </c>
      <c r="R14" s="35" t="e">
        <f>+#REF!+#REF!+E14+N14+O14</f>
        <v>#REF!</v>
      </c>
      <c r="S14" s="37"/>
    </row>
    <row r="15" spans="1:19" s="52" customFormat="1" ht="18.75" x14ac:dyDescent="0.3">
      <c r="A15" s="40"/>
      <c r="B15" s="44" t="s">
        <v>19</v>
      </c>
      <c r="C15" s="45"/>
      <c r="D15" s="46">
        <f t="shared" ref="D15:O15" si="1">SUM(D8:D14)</f>
        <v>259505.31789800001</v>
      </c>
      <c r="E15" s="47">
        <f t="shared" si="1"/>
        <v>214529</v>
      </c>
      <c r="F15" s="48">
        <f t="shared" si="1"/>
        <v>201592</v>
      </c>
      <c r="G15" s="49">
        <f>SUM(G8:G14)</f>
        <v>189846.48</v>
      </c>
      <c r="H15" s="50">
        <f>+F15-G15</f>
        <v>11745.51999999999</v>
      </c>
      <c r="I15" s="51">
        <f t="shared" si="0"/>
        <v>0.94173618000714321</v>
      </c>
      <c r="J15" s="45"/>
      <c r="K15" s="222"/>
      <c r="L15" s="45"/>
      <c r="M15" s="46">
        <f t="shared" si="1"/>
        <v>259505.31789800001</v>
      </c>
      <c r="N15" s="47">
        <f t="shared" si="1"/>
        <v>287501</v>
      </c>
      <c r="O15" s="46">
        <f t="shared" si="1"/>
        <v>214278.821</v>
      </c>
      <c r="P15" s="47">
        <f>SUM(P8:P14)</f>
        <v>0</v>
      </c>
      <c r="Q15" s="46" t="e">
        <f>SUM(Q8:Q14)</f>
        <v>#REF!</v>
      </c>
      <c r="R15" s="47" t="e">
        <f>SUM(R8:R14)</f>
        <v>#REF!</v>
      </c>
      <c r="S15" s="49" t="e">
        <v>#VALUE!</v>
      </c>
    </row>
    <row r="16" spans="1:19" s="43" customFormat="1" x14ac:dyDescent="0.25">
      <c r="A16" s="40"/>
      <c r="B16" s="41" t="s">
        <v>20</v>
      </c>
      <c r="C16" s="33"/>
      <c r="D16" s="34">
        <v>46080</v>
      </c>
      <c r="E16" s="35">
        <v>59181.347368421055</v>
      </c>
      <c r="F16" s="36">
        <v>59181.347368421055</v>
      </c>
      <c r="G16" s="37">
        <v>66798</v>
      </c>
      <c r="H16" s="42"/>
      <c r="I16" s="39">
        <f t="shared" si="0"/>
        <v>1.128700223470126</v>
      </c>
      <c r="J16" s="33"/>
      <c r="K16" s="222"/>
      <c r="L16" s="33"/>
      <c r="M16" s="34">
        <f>D16</f>
        <v>46080</v>
      </c>
      <c r="N16" s="35">
        <v>72459.799999999988</v>
      </c>
      <c r="O16" s="34">
        <f>M16</f>
        <v>46080</v>
      </c>
      <c r="P16" s="35"/>
      <c r="Q16" s="34" t="e">
        <f>+#REF!+#REF!+D16+M16+O16</f>
        <v>#REF!</v>
      </c>
      <c r="R16" s="35" t="e">
        <f>+#REF!+#REF!+E16+N16+O16</f>
        <v>#REF!</v>
      </c>
      <c r="S16" s="37" t="e">
        <v>#VALUE!</v>
      </c>
    </row>
    <row r="17" spans="1:21" s="43" customFormat="1" ht="18.75" x14ac:dyDescent="0.3">
      <c r="A17" s="40"/>
      <c r="B17" s="44" t="s">
        <v>21</v>
      </c>
      <c r="C17" s="45"/>
      <c r="D17" s="53">
        <f t="shared" ref="D17:P17" si="2">D15+D16</f>
        <v>305585.31789800001</v>
      </c>
      <c r="E17" s="54">
        <f t="shared" si="2"/>
        <v>273710.34736842103</v>
      </c>
      <c r="F17" s="55">
        <f t="shared" si="2"/>
        <v>260773.34736842106</v>
      </c>
      <c r="G17" s="56">
        <f t="shared" si="2"/>
        <v>256644.48000000001</v>
      </c>
      <c r="H17" s="50">
        <f>+F17-G17</f>
        <v>4128.8673684210517</v>
      </c>
      <c r="I17" s="51">
        <f t="shared" si="0"/>
        <v>0.98416683526101389</v>
      </c>
      <c r="J17" s="45"/>
      <c r="K17" s="223"/>
      <c r="L17" s="45"/>
      <c r="M17" s="53">
        <f t="shared" si="2"/>
        <v>305585.31789800001</v>
      </c>
      <c r="N17" s="54">
        <f>N15+N16</f>
        <v>359960.8</v>
      </c>
      <c r="O17" s="53">
        <f t="shared" si="2"/>
        <v>260358.821</v>
      </c>
      <c r="P17" s="54">
        <f t="shared" si="2"/>
        <v>0</v>
      </c>
      <c r="Q17" s="53" t="e">
        <f>Q15+Q16</f>
        <v>#REF!</v>
      </c>
      <c r="R17" s="54" t="e">
        <f>R15+R16</f>
        <v>#REF!</v>
      </c>
      <c r="S17" s="56" t="e">
        <f>S15+S16</f>
        <v>#VALUE!</v>
      </c>
      <c r="T17" s="57" t="e">
        <f>+#REF!+#REF!+D17+M17+O17</f>
        <v>#REF!</v>
      </c>
      <c r="U17" s="57"/>
    </row>
    <row r="18" spans="1:21" s="65" customFormat="1" ht="18.75" x14ac:dyDescent="0.3">
      <c r="A18" s="58"/>
      <c r="B18" s="58"/>
      <c r="C18" s="59"/>
      <c r="D18" s="60"/>
      <c r="E18" s="61"/>
      <c r="F18" s="62"/>
      <c r="G18" s="63"/>
      <c r="H18" s="58"/>
      <c r="I18" s="64"/>
      <c r="J18" s="59"/>
      <c r="K18" s="64"/>
      <c r="L18" s="59"/>
      <c r="M18" s="60"/>
      <c r="N18" s="61"/>
      <c r="O18" s="60"/>
      <c r="P18" s="61"/>
      <c r="Q18" s="60"/>
      <c r="R18" s="61"/>
      <c r="S18" s="63"/>
    </row>
    <row r="19" spans="1:21" s="43" customFormat="1" x14ac:dyDescent="0.25">
      <c r="A19" s="24" t="s">
        <v>22</v>
      </c>
      <c r="B19" s="25" t="s">
        <v>23</v>
      </c>
      <c r="C19" s="28"/>
      <c r="D19" s="26"/>
      <c r="E19" s="26"/>
      <c r="F19" s="26"/>
      <c r="G19" s="26"/>
      <c r="H19" s="26"/>
      <c r="I19" s="27"/>
      <c r="J19" s="28"/>
      <c r="K19" s="27"/>
      <c r="L19" s="28"/>
      <c r="M19" s="26"/>
      <c r="N19" s="26"/>
      <c r="O19" s="26"/>
      <c r="P19" s="26"/>
      <c r="Q19" s="26"/>
      <c r="R19" s="26"/>
      <c r="S19" s="26"/>
    </row>
    <row r="20" spans="1:21" s="43" customFormat="1" x14ac:dyDescent="0.25">
      <c r="A20" s="40"/>
      <c r="B20" s="41" t="s">
        <v>11</v>
      </c>
      <c r="C20" s="33"/>
      <c r="D20" s="34" t="s">
        <v>25</v>
      </c>
      <c r="E20" s="35">
        <v>39962.326532213512</v>
      </c>
      <c r="F20" s="36">
        <v>39962.326532213512</v>
      </c>
      <c r="G20" s="37">
        <v>51325.862201252086</v>
      </c>
      <c r="H20" s="42"/>
      <c r="I20" s="39">
        <f t="shared" ref="I20:I29" si="3">IFERROR(G20/F20,0)</f>
        <v>1.2843562088378029</v>
      </c>
      <c r="J20" s="33"/>
      <c r="K20" s="221" t="s">
        <v>24</v>
      </c>
      <c r="L20" s="33"/>
      <c r="M20" s="34" t="s">
        <v>25</v>
      </c>
      <c r="N20" s="35">
        <v>32487.390087663029</v>
      </c>
      <c r="O20" s="34" t="s">
        <v>25</v>
      </c>
      <c r="P20" s="35"/>
      <c r="Q20" s="34"/>
      <c r="R20" s="35"/>
      <c r="S20" s="37"/>
    </row>
    <row r="21" spans="1:21" s="43" customFormat="1" x14ac:dyDescent="0.25">
      <c r="A21" s="40"/>
      <c r="B21" s="41" t="s">
        <v>13</v>
      </c>
      <c r="C21" s="33"/>
      <c r="D21" s="34"/>
      <c r="E21" s="35">
        <v>25899.787634518911</v>
      </c>
      <c r="F21" s="36">
        <v>25899.787634518911</v>
      </c>
      <c r="G21" s="37">
        <v>43175.292021629095</v>
      </c>
      <c r="H21" s="42"/>
      <c r="I21" s="39">
        <f t="shared" si="3"/>
        <v>1.6670133605298605</v>
      </c>
      <c r="J21" s="33"/>
      <c r="K21" s="224"/>
      <c r="L21" s="33"/>
      <c r="M21" s="34"/>
      <c r="N21" s="35">
        <v>43497.760786829167</v>
      </c>
      <c r="O21" s="34"/>
      <c r="P21" s="35"/>
      <c r="Q21" s="34"/>
      <c r="R21" s="35"/>
      <c r="S21" s="37"/>
    </row>
    <row r="22" spans="1:21" s="43" customFormat="1" x14ac:dyDescent="0.25">
      <c r="A22" s="40"/>
      <c r="B22" s="41" t="s">
        <v>14</v>
      </c>
      <c r="C22" s="33"/>
      <c r="D22" s="34"/>
      <c r="E22" s="35">
        <v>30841.592666027842</v>
      </c>
      <c r="F22" s="36">
        <v>30841.592666027842</v>
      </c>
      <c r="G22" s="37">
        <v>20896.302309177507</v>
      </c>
      <c r="H22" s="42"/>
      <c r="I22" s="39">
        <f t="shared" si="3"/>
        <v>0.67753642087993982</v>
      </c>
      <c r="J22" s="33"/>
      <c r="K22" s="224"/>
      <c r="L22" s="33"/>
      <c r="M22" s="34"/>
      <c r="N22" s="35">
        <v>97869.961770365611</v>
      </c>
      <c r="O22" s="34"/>
      <c r="P22" s="35"/>
      <c r="Q22" s="34"/>
      <c r="R22" s="35"/>
      <c r="S22" s="37"/>
    </row>
    <row r="23" spans="1:21" s="43" customFormat="1" x14ac:dyDescent="0.25">
      <c r="A23" s="40"/>
      <c r="B23" s="41" t="s">
        <v>15</v>
      </c>
      <c r="C23" s="33"/>
      <c r="D23" s="34"/>
      <c r="E23" s="35">
        <v>28150.413167239727</v>
      </c>
      <c r="F23" s="36">
        <v>28150.413167239727</v>
      </c>
      <c r="G23" s="37">
        <v>42261.757137638262</v>
      </c>
      <c r="H23" s="42"/>
      <c r="I23" s="39">
        <f t="shared" si="3"/>
        <v>1.5012837249160067</v>
      </c>
      <c r="J23" s="33"/>
      <c r="K23" s="224"/>
      <c r="L23" s="33"/>
      <c r="M23" s="34"/>
      <c r="N23" s="35">
        <v>38060.540688475521</v>
      </c>
      <c r="O23" s="34"/>
      <c r="P23" s="35"/>
      <c r="Q23" s="34"/>
      <c r="R23" s="35"/>
      <c r="S23" s="37"/>
    </row>
    <row r="24" spans="1:21" s="43" customFormat="1" x14ac:dyDescent="0.25">
      <c r="A24" s="40"/>
      <c r="B24" s="41" t="s">
        <v>16</v>
      </c>
      <c r="C24" s="33"/>
      <c r="D24" s="34"/>
      <c r="E24" s="35">
        <v>7500</v>
      </c>
      <c r="F24" s="36">
        <v>7500</v>
      </c>
      <c r="G24" s="37">
        <v>1147.69</v>
      </c>
      <c r="H24" s="42"/>
      <c r="I24" s="39">
        <f t="shared" si="3"/>
        <v>0.15302533333333335</v>
      </c>
      <c r="J24" s="33"/>
      <c r="K24" s="224"/>
      <c r="L24" s="33"/>
      <c r="M24" s="34"/>
      <c r="N24" s="35">
        <v>7500</v>
      </c>
      <c r="O24" s="34"/>
      <c r="P24" s="35"/>
      <c r="Q24" s="34"/>
      <c r="R24" s="35"/>
      <c r="S24" s="37"/>
    </row>
    <row r="25" spans="1:21" s="43" customFormat="1" x14ac:dyDescent="0.25">
      <c r="A25" s="40"/>
      <c r="B25" s="41" t="s">
        <v>17</v>
      </c>
      <c r="C25" s="33"/>
      <c r="D25" s="34"/>
      <c r="E25" s="35">
        <v>10000</v>
      </c>
      <c r="F25" s="36">
        <v>10000</v>
      </c>
      <c r="G25" s="37">
        <v>6696.9696969696997</v>
      </c>
      <c r="H25" s="42"/>
      <c r="I25" s="39">
        <f t="shared" si="3"/>
        <v>0.66969696969697001</v>
      </c>
      <c r="J25" s="33"/>
      <c r="K25" s="224"/>
      <c r="L25" s="33"/>
      <c r="M25" s="34"/>
      <c r="N25" s="35">
        <v>19000</v>
      </c>
      <c r="O25" s="34"/>
      <c r="P25" s="35"/>
      <c r="Q25" s="34"/>
      <c r="R25" s="35"/>
      <c r="S25" s="37"/>
    </row>
    <row r="26" spans="1:21" s="43" customFormat="1" x14ac:dyDescent="0.25">
      <c r="A26" s="40"/>
      <c r="B26" s="41" t="s">
        <v>18</v>
      </c>
      <c r="C26" s="33"/>
      <c r="D26" s="34"/>
      <c r="E26" s="35">
        <v>47600.000909090908</v>
      </c>
      <c r="F26" s="36">
        <v>47600.000909090908</v>
      </c>
      <c r="G26" s="37">
        <v>41672.936633333346</v>
      </c>
      <c r="H26" s="66"/>
      <c r="I26" s="39">
        <f t="shared" si="3"/>
        <v>0.87548184532438567</v>
      </c>
      <c r="J26" s="33"/>
      <c r="K26" s="224"/>
      <c r="L26" s="33"/>
      <c r="M26" s="34"/>
      <c r="N26" s="35">
        <v>24900</v>
      </c>
      <c r="O26" s="34"/>
      <c r="P26" s="35"/>
      <c r="Q26" s="34"/>
      <c r="R26" s="35"/>
      <c r="S26" s="37"/>
    </row>
    <row r="27" spans="1:21" s="52" customFormat="1" ht="18.75" x14ac:dyDescent="0.3">
      <c r="A27" s="40"/>
      <c r="B27" s="44" t="s">
        <v>19</v>
      </c>
      <c r="C27" s="45"/>
      <c r="D27" s="46">
        <v>219000</v>
      </c>
      <c r="E27" s="47">
        <f>SUM(E20:E26)</f>
        <v>189954.12090909091</v>
      </c>
      <c r="F27" s="48">
        <f>SUM(F20:F26)</f>
        <v>189954.12090909091</v>
      </c>
      <c r="G27" s="49">
        <f>SUM(G20:G26)</f>
        <v>207176.81</v>
      </c>
      <c r="H27" s="50">
        <f>+F27-G27</f>
        <v>-17222.689090909087</v>
      </c>
      <c r="I27" s="51">
        <f t="shared" si="3"/>
        <v>1.0906676254691605</v>
      </c>
      <c r="J27" s="45"/>
      <c r="K27" s="224"/>
      <c r="L27" s="45"/>
      <c r="M27" s="46">
        <f>200000+19000</f>
        <v>219000</v>
      </c>
      <c r="N27" s="47">
        <f>SUM(N20:N26)</f>
        <v>263315.65333333332</v>
      </c>
      <c r="O27" s="46">
        <f>200000+19000</f>
        <v>219000</v>
      </c>
      <c r="P27" s="47">
        <f>SUM(P20:P26)</f>
        <v>0</v>
      </c>
      <c r="Q27" s="46" t="e">
        <f>+#REF!+#REF!+D27+M27+O27</f>
        <v>#REF!</v>
      </c>
      <c r="R27" s="47" t="e">
        <f>+#REF!+#REF!+E27+N27+O27</f>
        <v>#REF!</v>
      </c>
      <c r="S27" s="49" t="e">
        <v>#VALUE!</v>
      </c>
    </row>
    <row r="28" spans="1:21" s="43" customFormat="1" x14ac:dyDescent="0.25">
      <c r="A28" s="40"/>
      <c r="B28" s="41" t="s">
        <v>20</v>
      </c>
      <c r="C28" s="33"/>
      <c r="D28" s="34">
        <v>38720</v>
      </c>
      <c r="E28" s="35">
        <v>40519.957894736843</v>
      </c>
      <c r="F28" s="36">
        <v>40519.957894736843</v>
      </c>
      <c r="G28" s="37">
        <v>34570</v>
      </c>
      <c r="H28" s="42"/>
      <c r="I28" s="39">
        <f t="shared" si="3"/>
        <v>0.85315982039779747</v>
      </c>
      <c r="J28" s="33"/>
      <c r="K28" s="224"/>
      <c r="L28" s="33"/>
      <c r="M28" s="34">
        <v>38720</v>
      </c>
      <c r="N28" s="35">
        <v>52891.400000000009</v>
      </c>
      <c r="O28" s="34">
        <v>38720</v>
      </c>
      <c r="P28" s="35"/>
      <c r="Q28" s="34" t="e">
        <f>+#REF!+#REF!+D28+M28+O28</f>
        <v>#REF!</v>
      </c>
      <c r="R28" s="35" t="e">
        <f>+#REF!+#REF!+E28+N28+O28</f>
        <v>#REF!</v>
      </c>
      <c r="S28" s="37" t="e">
        <v>#VALUE!</v>
      </c>
    </row>
    <row r="29" spans="1:21" s="52" customFormat="1" ht="18.75" x14ac:dyDescent="0.3">
      <c r="A29" s="40"/>
      <c r="B29" s="44" t="s">
        <v>21</v>
      </c>
      <c r="C29" s="45"/>
      <c r="D29" s="53">
        <v>257720</v>
      </c>
      <c r="E29" s="54">
        <f t="shared" ref="E29:O29" si="4">E27+E28</f>
        <v>230474.07880382775</v>
      </c>
      <c r="F29" s="55">
        <f t="shared" si="4"/>
        <v>230474.07880382775</v>
      </c>
      <c r="G29" s="56">
        <f t="shared" si="4"/>
        <v>241746.81</v>
      </c>
      <c r="H29" s="50">
        <f>+F29-G29</f>
        <v>-11272.731196172244</v>
      </c>
      <c r="I29" s="51">
        <f t="shared" si="3"/>
        <v>1.0489110586955301</v>
      </c>
      <c r="J29" s="45"/>
      <c r="K29" s="225"/>
      <c r="L29" s="45"/>
      <c r="M29" s="53">
        <f t="shared" si="4"/>
        <v>257720</v>
      </c>
      <c r="N29" s="54">
        <f t="shared" si="4"/>
        <v>316207.05333333334</v>
      </c>
      <c r="O29" s="53">
        <f t="shared" si="4"/>
        <v>257720</v>
      </c>
      <c r="P29" s="54">
        <f>P27+P28</f>
        <v>0</v>
      </c>
      <c r="Q29" s="53" t="e">
        <f>Q27+Q28</f>
        <v>#REF!</v>
      </c>
      <c r="R29" s="54" t="e">
        <f>R27+R28</f>
        <v>#REF!</v>
      </c>
      <c r="S29" s="56" t="e">
        <f>S27+S28</f>
        <v>#VALUE!</v>
      </c>
      <c r="T29" s="57" t="e">
        <f>+#REF!+#REF!+D29+M29+O29</f>
        <v>#REF!</v>
      </c>
      <c r="U29" s="57"/>
    </row>
    <row r="30" spans="1:21" s="74" customFormat="1" ht="18.75" customHeight="1" x14ac:dyDescent="0.25">
      <c r="A30" s="67"/>
      <c r="B30" s="67"/>
      <c r="C30" s="68"/>
      <c r="D30" s="69"/>
      <c r="E30" s="70"/>
      <c r="F30" s="71"/>
      <c r="G30" s="72"/>
      <c r="H30" s="67"/>
      <c r="I30" s="73"/>
      <c r="J30" s="68"/>
      <c r="K30" s="73"/>
      <c r="L30" s="68"/>
      <c r="M30" s="69"/>
      <c r="N30" s="70"/>
      <c r="O30" s="69"/>
      <c r="P30" s="70"/>
      <c r="Q30" s="69"/>
      <c r="R30" s="70"/>
      <c r="S30" s="72"/>
    </row>
    <row r="31" spans="1:21" s="43" customFormat="1" x14ac:dyDescent="0.25">
      <c r="A31" s="24" t="s">
        <v>26</v>
      </c>
      <c r="B31" s="25" t="s">
        <v>27</v>
      </c>
      <c r="C31" s="28"/>
      <c r="D31" s="26"/>
      <c r="E31" s="26"/>
      <c r="F31" s="26"/>
      <c r="G31" s="26"/>
      <c r="H31" s="26"/>
      <c r="I31" s="27"/>
      <c r="J31" s="28"/>
      <c r="K31" s="27"/>
      <c r="L31" s="28"/>
      <c r="M31" s="26"/>
      <c r="N31" s="26"/>
      <c r="O31" s="26"/>
      <c r="P31" s="26"/>
      <c r="Q31" s="26"/>
      <c r="R31" s="26"/>
      <c r="S31" s="26"/>
    </row>
    <row r="32" spans="1:21" s="43" customFormat="1" x14ac:dyDescent="0.25">
      <c r="A32" s="40"/>
      <c r="B32" s="41" t="s">
        <v>28</v>
      </c>
      <c r="C32" s="33"/>
      <c r="D32" s="34"/>
      <c r="E32" s="35"/>
      <c r="F32" s="36"/>
      <c r="G32" s="37"/>
      <c r="H32" s="42"/>
      <c r="I32" s="75"/>
      <c r="J32" s="33"/>
      <c r="K32" s="226"/>
      <c r="L32" s="33"/>
      <c r="M32" s="34"/>
      <c r="N32" s="35">
        <v>0</v>
      </c>
      <c r="O32" s="34"/>
      <c r="P32" s="35"/>
      <c r="Q32" s="34"/>
      <c r="R32" s="35"/>
      <c r="S32" s="37"/>
    </row>
    <row r="33" spans="1:21" s="43" customFormat="1" x14ac:dyDescent="0.25">
      <c r="A33" s="40"/>
      <c r="B33" s="41" t="s">
        <v>29</v>
      </c>
      <c r="C33" s="33"/>
      <c r="D33" s="34"/>
      <c r="E33" s="35"/>
      <c r="F33" s="36"/>
      <c r="G33" s="37"/>
      <c r="H33" s="42"/>
      <c r="I33" s="75"/>
      <c r="J33" s="33"/>
      <c r="K33" s="227"/>
      <c r="L33" s="33"/>
      <c r="M33" s="34"/>
      <c r="N33" s="35">
        <v>0</v>
      </c>
      <c r="O33" s="34"/>
      <c r="P33" s="35"/>
      <c r="Q33" s="34"/>
      <c r="R33" s="35"/>
      <c r="S33" s="37"/>
    </row>
    <row r="34" spans="1:21" s="43" customFormat="1" x14ac:dyDescent="0.25">
      <c r="A34" s="40"/>
      <c r="B34" s="41" t="s">
        <v>16</v>
      </c>
      <c r="C34" s="33"/>
      <c r="D34" s="34"/>
      <c r="E34" s="35"/>
      <c r="F34" s="36"/>
      <c r="G34" s="37"/>
      <c r="H34" s="42"/>
      <c r="I34" s="75"/>
      <c r="J34" s="33"/>
      <c r="K34" s="227"/>
      <c r="L34" s="33"/>
      <c r="M34" s="34"/>
      <c r="N34" s="35">
        <v>0</v>
      </c>
      <c r="O34" s="34"/>
      <c r="P34" s="35"/>
      <c r="Q34" s="34"/>
      <c r="R34" s="35"/>
      <c r="S34" s="37"/>
    </row>
    <row r="35" spans="1:21" s="43" customFormat="1" x14ac:dyDescent="0.25">
      <c r="A35" s="40"/>
      <c r="B35" s="41" t="s">
        <v>17</v>
      </c>
      <c r="C35" s="33"/>
      <c r="D35" s="34"/>
      <c r="E35" s="35"/>
      <c r="F35" s="36"/>
      <c r="G35" s="37"/>
      <c r="H35" s="42"/>
      <c r="I35" s="75"/>
      <c r="J35" s="33"/>
      <c r="K35" s="227"/>
      <c r="L35" s="33"/>
      <c r="M35" s="34"/>
      <c r="N35" s="35">
        <v>0</v>
      </c>
      <c r="O35" s="34"/>
      <c r="P35" s="35"/>
      <c r="Q35" s="34"/>
      <c r="R35" s="35"/>
      <c r="S35" s="37"/>
    </row>
    <row r="36" spans="1:21" s="43" customFormat="1" ht="18.75" x14ac:dyDescent="0.3">
      <c r="A36" s="40"/>
      <c r="B36" s="44" t="s">
        <v>19</v>
      </c>
      <c r="C36" s="45"/>
      <c r="D36" s="46">
        <v>58000</v>
      </c>
      <c r="E36" s="47">
        <f>SUM(E32:E35)</f>
        <v>0</v>
      </c>
      <c r="F36" s="48">
        <f>SUM(F32:F35)</f>
        <v>0</v>
      </c>
      <c r="G36" s="49">
        <v>0</v>
      </c>
      <c r="H36" s="50">
        <f>+F36-G36</f>
        <v>0</v>
      </c>
      <c r="I36" s="51">
        <f>IFERROR(G36/F36,0)</f>
        <v>0</v>
      </c>
      <c r="J36" s="45"/>
      <c r="K36" s="227"/>
      <c r="L36" s="45"/>
      <c r="M36" s="46">
        <v>58000</v>
      </c>
      <c r="N36" s="47">
        <f>SUM(N32:N35)</f>
        <v>0</v>
      </c>
      <c r="O36" s="46">
        <v>58000</v>
      </c>
      <c r="P36" s="47">
        <f>SUM(P32:P35)</f>
        <v>0</v>
      </c>
      <c r="Q36" s="46" t="e">
        <f>+#REF!+#REF!+D36+M36+O36</f>
        <v>#REF!</v>
      </c>
      <c r="R36" s="47" t="e">
        <f>+#REF!+#REF!+E36+N36+O36</f>
        <v>#REF!</v>
      </c>
      <c r="S36" s="49"/>
    </row>
    <row r="37" spans="1:21" s="43" customFormat="1" x14ac:dyDescent="0.25">
      <c r="A37" s="40"/>
      <c r="B37" s="41" t="s">
        <v>20</v>
      </c>
      <c r="C37" s="33"/>
      <c r="D37" s="34">
        <v>23280</v>
      </c>
      <c r="E37" s="35"/>
      <c r="F37" s="36"/>
      <c r="G37" s="37">
        <v>0</v>
      </c>
      <c r="H37" s="42"/>
      <c r="I37" s="75"/>
      <c r="J37" s="33"/>
      <c r="K37" s="227"/>
      <c r="L37" s="33"/>
      <c r="M37" s="34">
        <f>D37</f>
        <v>23280</v>
      </c>
      <c r="N37" s="35">
        <v>0</v>
      </c>
      <c r="O37" s="34">
        <f>M37</f>
        <v>23280</v>
      </c>
      <c r="P37" s="35"/>
      <c r="Q37" s="34" t="e">
        <f>+#REF!+#REF!+D37+M37+O37</f>
        <v>#REF!</v>
      </c>
      <c r="R37" s="35" t="e">
        <f>+#REF!+#REF!+E37+N37+O37</f>
        <v>#REF!</v>
      </c>
      <c r="S37" s="37"/>
    </row>
    <row r="38" spans="1:21" s="43" customFormat="1" ht="18.75" x14ac:dyDescent="0.3">
      <c r="A38" s="40"/>
      <c r="B38" s="44" t="s">
        <v>21</v>
      </c>
      <c r="C38" s="45"/>
      <c r="D38" s="53">
        <v>81280</v>
      </c>
      <c r="E38" s="54">
        <f t="shared" ref="E38:O38" si="5">E36+E37</f>
        <v>0</v>
      </c>
      <c r="F38" s="55">
        <f t="shared" si="5"/>
        <v>0</v>
      </c>
      <c r="G38" s="56">
        <v>0</v>
      </c>
      <c r="H38" s="50">
        <f>+F38-G38</f>
        <v>0</v>
      </c>
      <c r="I38" s="51">
        <f>IFERROR(G38/F38,0)</f>
        <v>0</v>
      </c>
      <c r="J38" s="45"/>
      <c r="K38" s="228"/>
      <c r="L38" s="45"/>
      <c r="M38" s="53">
        <f t="shared" si="5"/>
        <v>81280</v>
      </c>
      <c r="N38" s="54">
        <f t="shared" si="5"/>
        <v>0</v>
      </c>
      <c r="O38" s="53">
        <f t="shared" si="5"/>
        <v>81280</v>
      </c>
      <c r="P38" s="54">
        <f>P36+P37</f>
        <v>0</v>
      </c>
      <c r="Q38" s="53" t="e">
        <f>Q36+Q37</f>
        <v>#REF!</v>
      </c>
      <c r="R38" s="54" t="e">
        <f>R36+R37</f>
        <v>#REF!</v>
      </c>
      <c r="S38" s="56"/>
      <c r="T38" s="57" t="e">
        <f>+#REF!+#REF!+D38+M38+O38</f>
        <v>#REF!</v>
      </c>
      <c r="U38" s="57"/>
    </row>
    <row r="39" spans="1:21" s="76" customFormat="1" ht="18.75" x14ac:dyDescent="0.3">
      <c r="A39" s="67"/>
      <c r="B39" s="67"/>
      <c r="C39" s="68"/>
      <c r="D39" s="69"/>
      <c r="E39" s="70"/>
      <c r="F39" s="71"/>
      <c r="G39" s="72"/>
      <c r="H39" s="67"/>
      <c r="I39" s="73"/>
      <c r="J39" s="68"/>
      <c r="K39" s="73"/>
      <c r="L39" s="68"/>
      <c r="M39" s="69"/>
      <c r="N39" s="70"/>
      <c r="O39" s="69"/>
      <c r="P39" s="70"/>
      <c r="Q39" s="69"/>
      <c r="R39" s="70"/>
      <c r="S39" s="72"/>
    </row>
    <row r="40" spans="1:21" s="52" customFormat="1" x14ac:dyDescent="0.25">
      <c r="A40" s="24" t="s">
        <v>30</v>
      </c>
      <c r="B40" s="25" t="s">
        <v>31</v>
      </c>
      <c r="C40" s="28"/>
      <c r="D40" s="26"/>
      <c r="E40" s="26"/>
      <c r="F40" s="26"/>
      <c r="G40" s="26"/>
      <c r="H40" s="26"/>
      <c r="I40" s="27"/>
      <c r="J40" s="28"/>
      <c r="K40" s="27"/>
      <c r="L40" s="28"/>
      <c r="M40" s="26"/>
      <c r="N40" s="26"/>
      <c r="O40" s="26"/>
      <c r="P40" s="26"/>
      <c r="Q40" s="26"/>
      <c r="R40" s="26"/>
      <c r="S40" s="26"/>
    </row>
    <row r="41" spans="1:21" s="43" customFormat="1" x14ac:dyDescent="0.25">
      <c r="A41" s="40"/>
      <c r="B41" s="41" t="s">
        <v>11</v>
      </c>
      <c r="C41" s="33"/>
      <c r="D41" s="34">
        <v>24823.396721311477</v>
      </c>
      <c r="E41" s="35">
        <v>89063.993639824126</v>
      </c>
      <c r="F41" s="36">
        <v>80123.98465086511</v>
      </c>
      <c r="G41" s="37">
        <v>67354.230481088511</v>
      </c>
      <c r="H41" s="42"/>
      <c r="I41" s="39">
        <f t="shared" ref="I41:I50" si="6">IFERROR(G41/F41,0)</f>
        <v>0.84062507343562676</v>
      </c>
      <c r="J41" s="33"/>
      <c r="K41" s="229" t="s">
        <v>32</v>
      </c>
      <c r="L41" s="33"/>
      <c r="M41" s="34">
        <v>24823.396721311477</v>
      </c>
      <c r="N41" s="35">
        <v>93676.429552951799</v>
      </c>
      <c r="O41" s="34">
        <v>24823.396721311477</v>
      </c>
      <c r="P41" s="35"/>
      <c r="Q41" s="34" t="e">
        <f>+#REF!+#REF!+D41+M41+O41</f>
        <v>#REF!</v>
      </c>
      <c r="R41" s="35" t="e">
        <f>+#REF!+#REF!+E41+N41+O41</f>
        <v>#REF!</v>
      </c>
      <c r="S41" s="37"/>
    </row>
    <row r="42" spans="1:21" s="43" customFormat="1" x14ac:dyDescent="0.25">
      <c r="A42" s="40"/>
      <c r="B42" s="41" t="s">
        <v>13</v>
      </c>
      <c r="C42" s="33"/>
      <c r="D42" s="34">
        <v>79888.367213114747</v>
      </c>
      <c r="E42" s="35">
        <v>101378.33631859132</v>
      </c>
      <c r="F42" s="36">
        <v>96020.022875510389</v>
      </c>
      <c r="G42" s="37">
        <v>79605.598236170554</v>
      </c>
      <c r="H42" s="42"/>
      <c r="I42" s="39">
        <f t="shared" si="6"/>
        <v>0.82905206489462013</v>
      </c>
      <c r="J42" s="33"/>
      <c r="K42" s="230"/>
      <c r="L42" s="33"/>
      <c r="M42" s="34">
        <v>79888.367213114747</v>
      </c>
      <c r="N42" s="35">
        <v>124219.02013932138</v>
      </c>
      <c r="O42" s="34">
        <v>79888.367213114747</v>
      </c>
      <c r="P42" s="35"/>
      <c r="Q42" s="34" t="e">
        <f>+#REF!+#REF!+D42+M42+O42</f>
        <v>#REF!</v>
      </c>
      <c r="R42" s="35" t="e">
        <f>+#REF!+#REF!+E42+N42+O42</f>
        <v>#REF!</v>
      </c>
      <c r="S42" s="37"/>
    </row>
    <row r="43" spans="1:21" s="43" customFormat="1" x14ac:dyDescent="0.25">
      <c r="A43" s="40"/>
      <c r="B43" s="41" t="s">
        <v>14</v>
      </c>
      <c r="C43" s="33"/>
      <c r="D43" s="34">
        <v>42501.350819672123</v>
      </c>
      <c r="E43" s="35">
        <v>9159.0266566473256</v>
      </c>
      <c r="F43" s="36">
        <v>8593.5446013138371</v>
      </c>
      <c r="G43" s="37">
        <v>1666.6661242742807</v>
      </c>
      <c r="H43" s="42"/>
      <c r="I43" s="39">
        <f t="shared" si="6"/>
        <v>0.19394396626736188</v>
      </c>
      <c r="J43" s="33"/>
      <c r="K43" s="230"/>
      <c r="L43" s="33"/>
      <c r="M43" s="34">
        <v>42501.350819672123</v>
      </c>
      <c r="N43" s="35">
        <v>10683.429044129152</v>
      </c>
      <c r="O43" s="34">
        <v>42501.350819672123</v>
      </c>
      <c r="P43" s="35"/>
      <c r="Q43" s="34" t="e">
        <f>+#REF!+#REF!+D43+M43+O43</f>
        <v>#REF!</v>
      </c>
      <c r="R43" s="35" t="e">
        <f>+#REF!+#REF!+E43+N43+O43</f>
        <v>#REF!</v>
      </c>
      <c r="S43" s="37"/>
    </row>
    <row r="44" spans="1:21" s="43" customFormat="1" x14ac:dyDescent="0.25">
      <c r="A44" s="40"/>
      <c r="B44" s="41" t="s">
        <v>15</v>
      </c>
      <c r="C44" s="33"/>
      <c r="D44" s="34">
        <v>0</v>
      </c>
      <c r="E44" s="35">
        <v>7522.9438910286844</v>
      </c>
      <c r="F44" s="36">
        <v>7380.8079636098082</v>
      </c>
      <c r="G44" s="37">
        <v>6956.4449240542763</v>
      </c>
      <c r="H44" s="42"/>
      <c r="I44" s="39">
        <f t="shared" si="6"/>
        <v>0.94250452773628535</v>
      </c>
      <c r="J44" s="33"/>
      <c r="K44" s="230"/>
      <c r="L44" s="33"/>
      <c r="M44" s="34">
        <v>0</v>
      </c>
      <c r="N44" s="35">
        <v>11941.039472781833</v>
      </c>
      <c r="O44" s="34">
        <v>0</v>
      </c>
      <c r="P44" s="35"/>
      <c r="Q44" s="34" t="e">
        <f>+#REF!+#REF!+D44+M44+O44</f>
        <v>#REF!</v>
      </c>
      <c r="R44" s="35" t="e">
        <f>+#REF!+#REF!+E44+N44+O44</f>
        <v>#REF!</v>
      </c>
      <c r="S44" s="37"/>
    </row>
    <row r="45" spans="1:21" s="43" customFormat="1" x14ac:dyDescent="0.25">
      <c r="A45" s="40"/>
      <c r="B45" s="41" t="s">
        <v>16</v>
      </c>
      <c r="C45" s="33"/>
      <c r="D45" s="34">
        <v>15606.622950819672</v>
      </c>
      <c r="E45" s="35">
        <v>6000</v>
      </c>
      <c r="F45" s="36">
        <v>2600</v>
      </c>
      <c r="G45" s="37">
        <v>57.730000000000018</v>
      </c>
      <c r="H45" s="42"/>
      <c r="I45" s="39">
        <f t="shared" si="6"/>
        <v>2.2203846153846161E-2</v>
      </c>
      <c r="J45" s="33"/>
      <c r="K45" s="230"/>
      <c r="L45" s="33"/>
      <c r="M45" s="34">
        <v>15606.622950819672</v>
      </c>
      <c r="N45" s="35">
        <v>6000</v>
      </c>
      <c r="O45" s="34">
        <v>16262.360655737704</v>
      </c>
      <c r="P45" s="35"/>
      <c r="Q45" s="34" t="e">
        <f>+#REF!+#REF!+D45+M45+O45</f>
        <v>#REF!</v>
      </c>
      <c r="R45" s="35" t="e">
        <f>+#REF!+#REF!+E45+N45+O45</f>
        <v>#REF!</v>
      </c>
      <c r="S45" s="37"/>
    </row>
    <row r="46" spans="1:21" s="43" customFormat="1" x14ac:dyDescent="0.25">
      <c r="A46" s="40"/>
      <c r="B46" s="41" t="s">
        <v>17</v>
      </c>
      <c r="C46" s="33"/>
      <c r="D46" s="34">
        <v>19000</v>
      </c>
      <c r="E46" s="35">
        <v>611.29385964912274</v>
      </c>
      <c r="F46" s="36">
        <v>589.59403107569278</v>
      </c>
      <c r="G46" s="37">
        <v>0</v>
      </c>
      <c r="H46" s="42"/>
      <c r="I46" s="39">
        <f t="shared" si="6"/>
        <v>0</v>
      </c>
      <c r="J46" s="33"/>
      <c r="K46" s="230"/>
      <c r="L46" s="33"/>
      <c r="M46" s="34">
        <v>19000</v>
      </c>
      <c r="N46" s="35">
        <v>1241.4917074106031</v>
      </c>
      <c r="O46" s="34">
        <v>19000</v>
      </c>
      <c r="P46" s="35"/>
      <c r="Q46" s="34" t="e">
        <f>+#REF!+#REF!+D46+M46+O46</f>
        <v>#REF!</v>
      </c>
      <c r="R46" s="35" t="e">
        <f>+#REF!+#REF!+E46+N46+O46</f>
        <v>#REF!</v>
      </c>
      <c r="S46" s="37"/>
    </row>
    <row r="47" spans="1:21" s="43" customFormat="1" x14ac:dyDescent="0.25">
      <c r="A47" s="40"/>
      <c r="B47" s="41" t="s">
        <v>18</v>
      </c>
      <c r="C47" s="33"/>
      <c r="D47" s="77">
        <v>37180.327868852452</v>
      </c>
      <c r="E47" s="35">
        <v>15264.405634259387</v>
      </c>
      <c r="F47" s="36">
        <v>14722.546787961057</v>
      </c>
      <c r="G47" s="37">
        <v>14685.060234412404</v>
      </c>
      <c r="H47" s="78"/>
      <c r="I47" s="39">
        <f t="shared" si="6"/>
        <v>0.99745379966601244</v>
      </c>
      <c r="J47" s="33"/>
      <c r="K47" s="230"/>
      <c r="L47" s="33"/>
      <c r="M47" s="77">
        <v>37180.327868852452</v>
      </c>
      <c r="N47" s="35">
        <v>17238.590083405234</v>
      </c>
      <c r="O47" s="77">
        <v>36524.590163934423</v>
      </c>
      <c r="P47" s="35"/>
      <c r="Q47" s="34" t="e">
        <f>+#REF!+#REF!+D47+M47+O47</f>
        <v>#REF!</v>
      </c>
      <c r="R47" s="35" t="e">
        <f>+#REF!+#REF!+E47+N47+O47</f>
        <v>#REF!</v>
      </c>
      <c r="S47" s="37"/>
    </row>
    <row r="48" spans="1:21" s="43" customFormat="1" ht="18.75" x14ac:dyDescent="0.3">
      <c r="A48" s="40"/>
      <c r="B48" s="44" t="s">
        <v>19</v>
      </c>
      <c r="C48" s="45"/>
      <c r="D48" s="46">
        <v>219000.06557377047</v>
      </c>
      <c r="E48" s="47">
        <f t="shared" ref="E48:O48" si="7">SUM(E41:E47)</f>
        <v>228999.99999999997</v>
      </c>
      <c r="F48" s="48">
        <f t="shared" si="7"/>
        <v>210030.50091033589</v>
      </c>
      <c r="G48" s="49">
        <f>SUM(G41:G47)</f>
        <v>170325.73000000004</v>
      </c>
      <c r="H48" s="50">
        <f>+F48-G48</f>
        <v>39704.77091033585</v>
      </c>
      <c r="I48" s="51">
        <f t="shared" si="6"/>
        <v>0.81095711937912196</v>
      </c>
      <c r="J48" s="45"/>
      <c r="K48" s="230"/>
      <c r="L48" s="45"/>
      <c r="M48" s="46">
        <f t="shared" si="7"/>
        <v>219000.06557377047</v>
      </c>
      <c r="N48" s="47">
        <f t="shared" si="7"/>
        <v>265000</v>
      </c>
      <c r="O48" s="46">
        <f t="shared" si="7"/>
        <v>219000.06557377047</v>
      </c>
      <c r="P48" s="47">
        <f>SUM(P41:P47)</f>
        <v>0</v>
      </c>
      <c r="Q48" s="46" t="e">
        <f>SUM(Q41:Q47)</f>
        <v>#REF!</v>
      </c>
      <c r="R48" s="47" t="e">
        <f>SUM(R41:R47)</f>
        <v>#REF!</v>
      </c>
      <c r="S48" s="49" t="e">
        <v>#VALUE!</v>
      </c>
    </row>
    <row r="49" spans="1:21" s="43" customFormat="1" x14ac:dyDescent="0.25">
      <c r="A49" s="40"/>
      <c r="B49" s="41" t="s">
        <v>20</v>
      </c>
      <c r="C49" s="33"/>
      <c r="D49" s="34">
        <v>30880</v>
      </c>
      <c r="E49" s="35">
        <v>35094.442105263159</v>
      </c>
      <c r="F49" s="36">
        <v>44761</v>
      </c>
      <c r="G49" s="37">
        <v>28392.799999999999</v>
      </c>
      <c r="H49" s="42"/>
      <c r="I49" s="39">
        <f t="shared" si="6"/>
        <v>0.63432005540537517</v>
      </c>
      <c r="J49" s="33"/>
      <c r="K49" s="230"/>
      <c r="L49" s="33"/>
      <c r="M49" s="34">
        <f>D49</f>
        <v>30880</v>
      </c>
      <c r="N49" s="35">
        <v>47361.200000000004</v>
      </c>
      <c r="O49" s="34">
        <f>M49</f>
        <v>30880</v>
      </c>
      <c r="P49" s="35"/>
      <c r="Q49" s="34" t="e">
        <f>+#REF!+#REF!+D49+M49+O49</f>
        <v>#REF!</v>
      </c>
      <c r="R49" s="35" t="e">
        <f>+#REF!+#REF!+E49+N49+O49</f>
        <v>#REF!</v>
      </c>
      <c r="S49" s="37" t="e">
        <v>#VALUE!</v>
      </c>
    </row>
    <row r="50" spans="1:21" s="43" customFormat="1" ht="18.75" x14ac:dyDescent="0.3">
      <c r="A50" s="40"/>
      <c r="B50" s="44" t="s">
        <v>21</v>
      </c>
      <c r="C50" s="45"/>
      <c r="D50" s="53">
        <v>249880.06557377047</v>
      </c>
      <c r="E50" s="54">
        <f t="shared" ref="E50:O50" si="8">E48+E49</f>
        <v>264094.44210526312</v>
      </c>
      <c r="F50" s="55">
        <f t="shared" si="8"/>
        <v>254791.50091033589</v>
      </c>
      <c r="G50" s="56">
        <f t="shared" si="8"/>
        <v>198718.53000000003</v>
      </c>
      <c r="H50" s="50">
        <f>+F50-G50</f>
        <v>56072.970910335862</v>
      </c>
      <c r="I50" s="51">
        <f t="shared" si="6"/>
        <v>0.77992605440136487</v>
      </c>
      <c r="J50" s="45"/>
      <c r="K50" s="231"/>
      <c r="L50" s="45"/>
      <c r="M50" s="53">
        <f t="shared" si="8"/>
        <v>249880.06557377047</v>
      </c>
      <c r="N50" s="54">
        <f t="shared" si="8"/>
        <v>312361.2</v>
      </c>
      <c r="O50" s="53">
        <f t="shared" si="8"/>
        <v>249880.06557377047</v>
      </c>
      <c r="P50" s="54">
        <f>P48+P49</f>
        <v>0</v>
      </c>
      <c r="Q50" s="53" t="e">
        <f>Q48+Q49</f>
        <v>#REF!</v>
      </c>
      <c r="R50" s="54" t="e">
        <f>R48+R49</f>
        <v>#REF!</v>
      </c>
      <c r="S50" s="56" t="e">
        <f>S48+S49</f>
        <v>#VALUE!</v>
      </c>
      <c r="T50" s="57" t="e">
        <f>+#REF!+#REF!+D50+M50+O50</f>
        <v>#REF!</v>
      </c>
      <c r="U50" s="57"/>
    </row>
    <row r="51" spans="1:21" s="76" customFormat="1" ht="18.75" x14ac:dyDescent="0.3">
      <c r="A51" s="67"/>
      <c r="B51" s="67"/>
      <c r="C51" s="68"/>
      <c r="D51" s="69"/>
      <c r="E51" s="70"/>
      <c r="F51" s="71"/>
      <c r="G51" s="72"/>
      <c r="H51" s="67"/>
      <c r="I51" s="73"/>
      <c r="J51" s="68"/>
      <c r="K51" s="73"/>
      <c r="L51" s="68"/>
      <c r="M51" s="69"/>
      <c r="N51" s="70"/>
      <c r="O51" s="69"/>
      <c r="P51" s="70"/>
      <c r="Q51" s="69"/>
      <c r="R51" s="70"/>
      <c r="S51" s="72"/>
    </row>
    <row r="52" spans="1:21" s="43" customFormat="1" x14ac:dyDescent="0.25">
      <c r="A52" s="24" t="s">
        <v>33</v>
      </c>
      <c r="B52" s="25" t="s">
        <v>34</v>
      </c>
      <c r="C52" s="28"/>
      <c r="D52" s="26"/>
      <c r="E52" s="26"/>
      <c r="F52" s="26"/>
      <c r="G52" s="26"/>
      <c r="H52" s="26"/>
      <c r="I52" s="27"/>
      <c r="J52" s="28"/>
      <c r="K52" s="27"/>
      <c r="L52" s="28"/>
      <c r="M52" s="26"/>
      <c r="N52" s="26"/>
      <c r="O52" s="26"/>
      <c r="P52" s="26"/>
      <c r="Q52" s="26"/>
      <c r="R52" s="26"/>
      <c r="S52" s="26"/>
    </row>
    <row r="53" spans="1:21" s="43" customFormat="1" x14ac:dyDescent="0.25">
      <c r="A53" s="40"/>
      <c r="B53" s="41" t="s">
        <v>11</v>
      </c>
      <c r="C53" s="33"/>
      <c r="D53" s="79" t="s">
        <v>25</v>
      </c>
      <c r="E53" s="35">
        <v>0</v>
      </c>
      <c r="F53" s="36">
        <v>0</v>
      </c>
      <c r="G53" s="37">
        <v>0</v>
      </c>
      <c r="H53" s="42"/>
      <c r="I53" s="39">
        <f t="shared" ref="I53:I62" si="9">IFERROR(G53/F53,0)</f>
        <v>0</v>
      </c>
      <c r="J53" s="33"/>
      <c r="K53" s="229" t="s">
        <v>35</v>
      </c>
      <c r="L53" s="33"/>
      <c r="M53" s="79" t="s">
        <v>25</v>
      </c>
      <c r="N53" s="35">
        <v>21176.470588235294</v>
      </c>
      <c r="O53" s="79" t="s">
        <v>25</v>
      </c>
      <c r="P53" s="35"/>
      <c r="Q53" s="34"/>
      <c r="R53" s="35"/>
      <c r="S53" s="80"/>
    </row>
    <row r="54" spans="1:21" s="43" customFormat="1" x14ac:dyDescent="0.25">
      <c r="A54" s="40"/>
      <c r="B54" s="41" t="s">
        <v>13</v>
      </c>
      <c r="C54" s="33"/>
      <c r="D54" s="79">
        <v>0</v>
      </c>
      <c r="E54" s="35">
        <v>0</v>
      </c>
      <c r="F54" s="36">
        <v>0</v>
      </c>
      <c r="G54" s="37">
        <v>0</v>
      </c>
      <c r="H54" s="81"/>
      <c r="I54" s="39">
        <f t="shared" si="9"/>
        <v>0</v>
      </c>
      <c r="J54" s="33"/>
      <c r="K54" s="230"/>
      <c r="L54" s="33"/>
      <c r="M54" s="79"/>
      <c r="N54" s="35">
        <v>28235.294117647059</v>
      </c>
      <c r="O54" s="79"/>
      <c r="P54" s="35"/>
      <c r="Q54" s="34"/>
      <c r="R54" s="35"/>
      <c r="S54" s="80"/>
    </row>
    <row r="55" spans="1:21" s="43" customFormat="1" x14ac:dyDescent="0.25">
      <c r="A55" s="40"/>
      <c r="B55" s="41" t="s">
        <v>14</v>
      </c>
      <c r="C55" s="33"/>
      <c r="D55" s="79">
        <v>0</v>
      </c>
      <c r="E55" s="35">
        <v>148000</v>
      </c>
      <c r="F55" s="36">
        <v>181535</v>
      </c>
      <c r="G55" s="37">
        <v>158583.33170827187</v>
      </c>
      <c r="H55" s="81"/>
      <c r="I55" s="39">
        <f t="shared" si="9"/>
        <v>0.87356890796965803</v>
      </c>
      <c r="J55" s="33"/>
      <c r="K55" s="230"/>
      <c r="L55" s="33"/>
      <c r="M55" s="79"/>
      <c r="N55" s="35">
        <v>148235.29411764705</v>
      </c>
      <c r="O55" s="79"/>
      <c r="P55" s="35"/>
      <c r="Q55" s="34"/>
      <c r="R55" s="35"/>
      <c r="S55" s="80"/>
    </row>
    <row r="56" spans="1:21" s="43" customFormat="1" x14ac:dyDescent="0.25">
      <c r="A56" s="40"/>
      <c r="B56" s="41" t="s">
        <v>15</v>
      </c>
      <c r="C56" s="33"/>
      <c r="D56" s="34">
        <v>0</v>
      </c>
      <c r="E56" s="35">
        <v>0</v>
      </c>
      <c r="F56" s="36">
        <v>0</v>
      </c>
      <c r="G56" s="37">
        <v>0</v>
      </c>
      <c r="H56" s="42"/>
      <c r="I56" s="39">
        <f t="shared" si="9"/>
        <v>0</v>
      </c>
      <c r="J56" s="33"/>
      <c r="K56" s="230"/>
      <c r="L56" s="33"/>
      <c r="M56" s="34"/>
      <c r="N56" s="35">
        <v>42352.941176470587</v>
      </c>
      <c r="O56" s="34"/>
      <c r="P56" s="35"/>
      <c r="Q56" s="34"/>
      <c r="R56" s="35"/>
      <c r="S56" s="80"/>
    </row>
    <row r="57" spans="1:21" s="43" customFormat="1" x14ac:dyDescent="0.25">
      <c r="A57" s="40"/>
      <c r="B57" s="41" t="s">
        <v>16</v>
      </c>
      <c r="C57" s="33"/>
      <c r="D57" s="34">
        <v>0</v>
      </c>
      <c r="E57" s="35">
        <v>5000</v>
      </c>
      <c r="F57" s="36">
        <v>0</v>
      </c>
      <c r="G57" s="37">
        <v>0</v>
      </c>
      <c r="H57" s="42"/>
      <c r="I57" s="39">
        <f t="shared" si="9"/>
        <v>0</v>
      </c>
      <c r="J57" s="33"/>
      <c r="K57" s="230"/>
      <c r="L57" s="33"/>
      <c r="M57" s="34"/>
      <c r="N57" s="35">
        <v>5000</v>
      </c>
      <c r="O57" s="34"/>
      <c r="P57" s="35"/>
      <c r="Q57" s="34"/>
      <c r="R57" s="35"/>
      <c r="S57" s="80"/>
    </row>
    <row r="58" spans="1:21" s="43" customFormat="1" x14ac:dyDescent="0.25">
      <c r="A58" s="40"/>
      <c r="B58" s="41" t="s">
        <v>17</v>
      </c>
      <c r="C58" s="33"/>
      <c r="D58" s="34">
        <v>0</v>
      </c>
      <c r="E58" s="35">
        <v>19000</v>
      </c>
      <c r="F58" s="36">
        <v>19000</v>
      </c>
      <c r="G58" s="37">
        <v>3831.9437383694722</v>
      </c>
      <c r="H58" s="42"/>
      <c r="I58" s="39">
        <f t="shared" si="9"/>
        <v>0.20168124938786697</v>
      </c>
      <c r="J58" s="33"/>
      <c r="K58" s="230"/>
      <c r="L58" s="33"/>
      <c r="M58" s="34"/>
      <c r="N58" s="35">
        <v>19000</v>
      </c>
      <c r="O58" s="34"/>
      <c r="P58" s="35"/>
      <c r="Q58" s="34"/>
      <c r="R58" s="35"/>
      <c r="S58" s="80"/>
    </row>
    <row r="59" spans="1:21" s="43" customFormat="1" x14ac:dyDescent="0.25">
      <c r="A59" s="40"/>
      <c r="B59" s="41" t="s">
        <v>18</v>
      </c>
      <c r="C59" s="33"/>
      <c r="D59" s="79">
        <v>0</v>
      </c>
      <c r="E59" s="35">
        <v>31000</v>
      </c>
      <c r="F59" s="36">
        <v>33127.599999999999</v>
      </c>
      <c r="G59" s="37">
        <v>40584.724553358661</v>
      </c>
      <c r="H59" s="81"/>
      <c r="I59" s="39">
        <f t="shared" si="9"/>
        <v>1.2251030727658709</v>
      </c>
      <c r="J59" s="33"/>
      <c r="K59" s="230"/>
      <c r="L59" s="33"/>
      <c r="M59" s="79"/>
      <c r="N59" s="35">
        <v>30000</v>
      </c>
      <c r="O59" s="79"/>
      <c r="P59" s="35"/>
      <c r="Q59" s="34"/>
      <c r="R59" s="35"/>
      <c r="S59" s="80"/>
    </row>
    <row r="60" spans="1:21" ht="18.75" x14ac:dyDescent="0.3">
      <c r="A60" s="30"/>
      <c r="B60" s="44" t="s">
        <v>19</v>
      </c>
      <c r="C60" s="45"/>
      <c r="D60" s="46">
        <v>169000</v>
      </c>
      <c r="E60" s="47">
        <f>SUM(E53:E59)</f>
        <v>203000</v>
      </c>
      <c r="F60" s="48">
        <f>SUM(F53:F59)</f>
        <v>233662.6</v>
      </c>
      <c r="G60" s="49">
        <f>SUM(G53:G59)</f>
        <v>203000</v>
      </c>
      <c r="H60" s="50">
        <f>+F60-G60</f>
        <v>30662.600000000006</v>
      </c>
      <c r="I60" s="51">
        <f t="shared" si="9"/>
        <v>0.86877403572501544</v>
      </c>
      <c r="J60" s="45"/>
      <c r="K60" s="230"/>
      <c r="L60" s="45"/>
      <c r="M60" s="46">
        <v>169000</v>
      </c>
      <c r="N60" s="47">
        <f>SUM(N53:N59)</f>
        <v>294000</v>
      </c>
      <c r="O60" s="46">
        <v>169000</v>
      </c>
      <c r="P60" s="47">
        <f>SUM(P53:P59)</f>
        <v>0</v>
      </c>
      <c r="Q60" s="46" t="e">
        <f>+#REF!+#REF!+D60+M60+O60</f>
        <v>#REF!</v>
      </c>
      <c r="R60" s="47" t="e">
        <f>+#REF!+#REF!+E60+N60+O60</f>
        <v>#REF!</v>
      </c>
      <c r="S60" s="49" t="e">
        <v>#VALUE!</v>
      </c>
    </row>
    <row r="61" spans="1:21" x14ac:dyDescent="0.25">
      <c r="A61" s="30"/>
      <c r="B61" s="41" t="s">
        <v>20</v>
      </c>
      <c r="C61" s="33"/>
      <c r="D61" s="79">
        <v>23280</v>
      </c>
      <c r="E61" s="35">
        <v>33693.347368421055</v>
      </c>
      <c r="F61" s="36">
        <v>33693.347368421055</v>
      </c>
      <c r="G61" s="37">
        <v>23136</v>
      </c>
      <c r="H61" s="42"/>
      <c r="I61" s="39">
        <f t="shared" si="9"/>
        <v>0.68666374245985773</v>
      </c>
      <c r="J61" s="33"/>
      <c r="K61" s="230"/>
      <c r="L61" s="33"/>
      <c r="M61" s="79">
        <f>D61</f>
        <v>23280</v>
      </c>
      <c r="N61" s="35">
        <v>54593</v>
      </c>
      <c r="O61" s="79">
        <f>M61</f>
        <v>23280</v>
      </c>
      <c r="P61" s="82"/>
      <c r="Q61" s="34" t="e">
        <f>+#REF!+#REF!+D61+M61+O61</f>
        <v>#REF!</v>
      </c>
      <c r="R61" s="82" t="e">
        <f>+#REF!+#REF!+E61+N61+O61</f>
        <v>#REF!</v>
      </c>
      <c r="S61" s="37" t="e">
        <v>#VALUE!</v>
      </c>
    </row>
    <row r="62" spans="1:21" s="84" customFormat="1" ht="18.75" x14ac:dyDescent="0.3">
      <c r="A62" s="30"/>
      <c r="B62" s="83" t="s">
        <v>36</v>
      </c>
      <c r="C62" s="45"/>
      <c r="D62" s="53">
        <v>192280</v>
      </c>
      <c r="E62" s="54">
        <f t="shared" ref="E62:O62" si="10">E60+E61</f>
        <v>236693.34736842106</v>
      </c>
      <c r="F62" s="55">
        <f t="shared" si="10"/>
        <v>267355.94736842107</v>
      </c>
      <c r="G62" s="56">
        <f t="shared" si="10"/>
        <v>226136</v>
      </c>
      <c r="H62" s="50">
        <f>+F62-G62</f>
        <v>41219.947368421068</v>
      </c>
      <c r="I62" s="51">
        <f t="shared" si="9"/>
        <v>0.84582371264171174</v>
      </c>
      <c r="J62" s="45"/>
      <c r="K62" s="231"/>
      <c r="L62" s="45"/>
      <c r="M62" s="53">
        <f t="shared" si="10"/>
        <v>192280</v>
      </c>
      <c r="N62" s="54">
        <f t="shared" si="10"/>
        <v>348593</v>
      </c>
      <c r="O62" s="53">
        <f t="shared" si="10"/>
        <v>192280</v>
      </c>
      <c r="P62" s="54">
        <f>P60+P61</f>
        <v>0</v>
      </c>
      <c r="Q62" s="53" t="e">
        <f>Q60+Q61</f>
        <v>#REF!</v>
      </c>
      <c r="R62" s="54" t="e">
        <f>R60+R61</f>
        <v>#REF!</v>
      </c>
      <c r="S62" s="56" t="e">
        <f>S60+S61</f>
        <v>#VALUE!</v>
      </c>
      <c r="T62" s="57" t="e">
        <f>+#REF!+#REF!+D62+M62+O62</f>
        <v>#REF!</v>
      </c>
      <c r="U62" s="57"/>
    </row>
    <row r="63" spans="1:21" s="87" customFormat="1" ht="18.75" x14ac:dyDescent="0.3">
      <c r="A63" s="85"/>
      <c r="B63" s="85"/>
      <c r="C63" s="68"/>
      <c r="D63" s="69"/>
      <c r="E63" s="70"/>
      <c r="F63" s="71"/>
      <c r="G63" s="72"/>
      <c r="H63" s="85"/>
      <c r="I63" s="86"/>
      <c r="J63" s="68"/>
      <c r="K63" s="86"/>
      <c r="L63" s="68"/>
      <c r="M63" s="69"/>
      <c r="N63" s="70"/>
      <c r="O63" s="69"/>
      <c r="P63" s="70"/>
      <c r="Q63" s="69"/>
      <c r="R63" s="70"/>
      <c r="S63" s="72"/>
    </row>
    <row r="64" spans="1:21" s="29" customFormat="1" x14ac:dyDescent="0.25">
      <c r="A64" s="24" t="s">
        <v>37</v>
      </c>
      <c r="B64" s="25" t="s">
        <v>38</v>
      </c>
      <c r="C64" s="28"/>
      <c r="D64" s="26"/>
      <c r="E64" s="26"/>
      <c r="F64" s="26"/>
      <c r="G64" s="26"/>
      <c r="H64" s="26"/>
      <c r="I64" s="27"/>
      <c r="J64" s="28"/>
      <c r="K64" s="27"/>
      <c r="L64" s="28"/>
      <c r="M64" s="26"/>
      <c r="N64" s="26"/>
      <c r="O64" s="26"/>
      <c r="P64" s="26"/>
      <c r="Q64" s="26"/>
      <c r="R64" s="26"/>
      <c r="S64" s="26"/>
    </row>
    <row r="65" spans="1:21" x14ac:dyDescent="0.25">
      <c r="A65" s="30"/>
      <c r="B65" s="179" t="s">
        <v>39</v>
      </c>
      <c r="C65" s="33"/>
      <c r="D65" s="34"/>
      <c r="E65" s="35"/>
      <c r="F65" s="36"/>
      <c r="G65" s="37"/>
      <c r="H65" s="38"/>
      <c r="I65" s="88"/>
      <c r="J65" s="33"/>
      <c r="K65" s="239" t="s">
        <v>40</v>
      </c>
      <c r="L65" s="33"/>
      <c r="M65" s="34"/>
      <c r="N65" s="35"/>
      <c r="O65" s="34"/>
      <c r="P65" s="35"/>
      <c r="Q65" s="34"/>
      <c r="R65" s="35"/>
      <c r="S65" s="37"/>
    </row>
    <row r="66" spans="1:21" x14ac:dyDescent="0.25">
      <c r="A66" s="30"/>
      <c r="B66" s="179" t="s">
        <v>41</v>
      </c>
      <c r="C66" s="33"/>
      <c r="D66" s="34"/>
      <c r="E66" s="35">
        <v>295059.71999999997</v>
      </c>
      <c r="F66" s="36">
        <v>305056</v>
      </c>
      <c r="G66" s="37">
        <f>G83</f>
        <v>301606.92000000004</v>
      </c>
      <c r="H66" s="38"/>
      <c r="I66" s="39">
        <f>IFERROR(G66/F66,0)</f>
        <v>0.98869361690968227</v>
      </c>
      <c r="J66" s="33"/>
      <c r="K66" s="240"/>
      <c r="L66" s="33"/>
      <c r="M66" s="34"/>
      <c r="N66" s="35">
        <f>N83</f>
        <v>306059</v>
      </c>
      <c r="O66" s="34">
        <f>O85</f>
        <v>0</v>
      </c>
      <c r="P66" s="35">
        <f>P85</f>
        <v>0</v>
      </c>
      <c r="Q66" s="34"/>
      <c r="R66" s="35"/>
      <c r="S66" s="37" t="e">
        <f>S83</f>
        <v>#VALUE!</v>
      </c>
    </row>
    <row r="67" spans="1:21" x14ac:dyDescent="0.25">
      <c r="A67" s="30"/>
      <c r="B67" s="179" t="s">
        <v>42</v>
      </c>
      <c r="C67" s="33"/>
      <c r="D67" s="34"/>
      <c r="E67" s="35"/>
      <c r="F67" s="36"/>
      <c r="G67" s="37"/>
      <c r="H67" s="38"/>
      <c r="I67" s="89"/>
      <c r="J67" s="33"/>
      <c r="K67" s="240"/>
      <c r="L67" s="33"/>
      <c r="M67" s="34"/>
      <c r="N67" s="35"/>
      <c r="O67" s="34"/>
      <c r="P67" s="35"/>
      <c r="Q67" s="34"/>
      <c r="R67" s="35"/>
      <c r="S67" s="37"/>
    </row>
    <row r="68" spans="1:21" x14ac:dyDescent="0.25">
      <c r="A68" s="30"/>
      <c r="B68" s="179" t="s">
        <v>43</v>
      </c>
      <c r="C68" s="33"/>
      <c r="D68" s="34"/>
      <c r="E68" s="35"/>
      <c r="F68" s="36"/>
      <c r="G68" s="37"/>
      <c r="H68" s="38"/>
      <c r="I68" s="90"/>
      <c r="J68" s="33"/>
      <c r="K68" s="240"/>
      <c r="L68" s="33"/>
      <c r="M68" s="34"/>
      <c r="N68" s="35">
        <f>N107</f>
        <v>0</v>
      </c>
      <c r="O68" s="34">
        <f>O109</f>
        <v>0</v>
      </c>
      <c r="P68" s="35">
        <f>P109</f>
        <v>0</v>
      </c>
      <c r="Q68" s="34"/>
      <c r="R68" s="35"/>
      <c r="S68" s="37" t="e">
        <f>S107</f>
        <v>#VALUE!</v>
      </c>
    </row>
    <row r="69" spans="1:21" x14ac:dyDescent="0.25">
      <c r="A69" s="30"/>
      <c r="B69" s="31" t="s">
        <v>44</v>
      </c>
      <c r="C69" s="33"/>
      <c r="D69" s="34"/>
      <c r="E69" s="35">
        <v>257545</v>
      </c>
      <c r="F69" s="36">
        <v>154126.68799999999</v>
      </c>
      <c r="G69" s="37">
        <f>G95</f>
        <v>67396.28</v>
      </c>
      <c r="H69" s="38"/>
      <c r="I69" s="39">
        <f>IFERROR(G69/F69,0)</f>
        <v>0.43727845498113865</v>
      </c>
      <c r="J69" s="33"/>
      <c r="K69" s="240"/>
      <c r="L69" s="33"/>
      <c r="M69" s="34"/>
      <c r="N69" s="35">
        <f>N95</f>
        <v>379700</v>
      </c>
      <c r="O69" s="34">
        <f>O97</f>
        <v>0</v>
      </c>
      <c r="P69" s="35">
        <f>P97</f>
        <v>0</v>
      </c>
      <c r="Q69" s="34"/>
      <c r="R69" s="35"/>
      <c r="S69" s="37" t="e">
        <f>S95</f>
        <v>#VALUE!</v>
      </c>
    </row>
    <row r="70" spans="1:21" x14ac:dyDescent="0.25">
      <c r="A70" s="30"/>
      <c r="B70" s="31" t="s">
        <v>45</v>
      </c>
      <c r="C70" s="33"/>
      <c r="D70" s="34"/>
      <c r="E70" s="35">
        <v>232834.44210526318</v>
      </c>
      <c r="F70" s="36">
        <v>248350</v>
      </c>
      <c r="G70" s="37">
        <f>G107</f>
        <v>134499.64000000001</v>
      </c>
      <c r="H70" s="38"/>
      <c r="I70" s="39">
        <f>IFERROR(G70/F70,0)</f>
        <v>0.54157294141332801</v>
      </c>
      <c r="J70" s="33"/>
      <c r="K70" s="240"/>
      <c r="L70" s="33"/>
      <c r="M70" s="34"/>
      <c r="N70" s="35"/>
      <c r="O70" s="34"/>
      <c r="P70" s="35"/>
      <c r="Q70" s="34"/>
      <c r="R70" s="35"/>
      <c r="S70" s="37"/>
    </row>
    <row r="71" spans="1:21" s="84" customFormat="1" ht="18.75" x14ac:dyDescent="0.3">
      <c r="A71" s="30"/>
      <c r="B71" s="83" t="s">
        <v>46</v>
      </c>
      <c r="C71" s="45"/>
      <c r="D71" s="46">
        <v>365000</v>
      </c>
      <c r="E71" s="47">
        <f>SUM(E65:E70)</f>
        <v>785439.16210526321</v>
      </c>
      <c r="F71" s="48">
        <f>SUM(F65:F70)</f>
        <v>707532.68799999997</v>
      </c>
      <c r="G71" s="49">
        <f>SUM(G66:G70)</f>
        <v>503502.84000000008</v>
      </c>
      <c r="H71" s="50">
        <f>+F71-G71</f>
        <v>204029.84799999988</v>
      </c>
      <c r="I71" s="51">
        <f>IFERROR(G71/F71,0)</f>
        <v>0.71163191261631165</v>
      </c>
      <c r="J71" s="45"/>
      <c r="K71" s="240"/>
      <c r="L71" s="45"/>
      <c r="M71" s="46">
        <v>365000</v>
      </c>
      <c r="N71" s="47">
        <f>SUM(N65:N69)</f>
        <v>685759</v>
      </c>
      <c r="O71" s="46">
        <v>400000</v>
      </c>
      <c r="P71" s="47">
        <f>SUM(P65:P68)</f>
        <v>0</v>
      </c>
      <c r="Q71" s="46" t="e">
        <f>+#REF!+#REF!+D71+M71+O71</f>
        <v>#REF!</v>
      </c>
      <c r="R71" s="47" t="e">
        <f>+#REF!+#REF!+E71+N71+O71</f>
        <v>#REF!</v>
      </c>
      <c r="S71" s="49" t="e">
        <f>SUM(S65:S69)</f>
        <v>#VALUE!</v>
      </c>
    </row>
    <row r="72" spans="1:21" x14ac:dyDescent="0.25">
      <c r="A72" s="30"/>
      <c r="B72" s="31" t="s">
        <v>47</v>
      </c>
      <c r="C72" s="33"/>
      <c r="D72" s="34">
        <v>77440</v>
      </c>
      <c r="E72" s="35">
        <v>123594.44210526315</v>
      </c>
      <c r="F72" s="36">
        <v>127703.55789473685</v>
      </c>
      <c r="G72" s="37">
        <f>G84+G96+G108</f>
        <v>128661.9</v>
      </c>
      <c r="H72" s="42"/>
      <c r="I72" s="39">
        <f>IFERROR(G72/F72,0)</f>
        <v>1.0075044276061054</v>
      </c>
      <c r="J72" s="33"/>
      <c r="K72" s="240"/>
      <c r="L72" s="33"/>
      <c r="M72" s="34">
        <v>77440</v>
      </c>
      <c r="N72" s="35">
        <f>N84+N96+N108</f>
        <v>98338.299999999988</v>
      </c>
      <c r="O72" s="34">
        <f>77440</f>
        <v>77440</v>
      </c>
      <c r="P72" s="35"/>
      <c r="Q72" s="34" t="e">
        <f>+#REF!+#REF!+D72+M72+O72</f>
        <v>#REF!</v>
      </c>
      <c r="R72" s="35" t="e">
        <f>+#REF!+#REF!+E72+N72+O72</f>
        <v>#REF!</v>
      </c>
      <c r="S72" s="37" t="e">
        <f>S84+S96+S108</f>
        <v>#VALUE!</v>
      </c>
    </row>
    <row r="73" spans="1:21" s="84" customFormat="1" ht="18.75" x14ac:dyDescent="0.3">
      <c r="A73" s="30"/>
      <c r="B73" s="83" t="s">
        <v>21</v>
      </c>
      <c r="C73" s="45"/>
      <c r="D73" s="46">
        <v>442440</v>
      </c>
      <c r="E73" s="47">
        <f t="shared" ref="E73:O73" si="11">E71+E72</f>
        <v>909033.60421052633</v>
      </c>
      <c r="F73" s="48">
        <f t="shared" si="11"/>
        <v>835236.24589473684</v>
      </c>
      <c r="G73" s="49">
        <f t="shared" si="11"/>
        <v>632164.74000000011</v>
      </c>
      <c r="H73" s="50">
        <f>+F73-G73</f>
        <v>203071.50589473674</v>
      </c>
      <c r="I73" s="51">
        <f>IFERROR(G73/F73,0)</f>
        <v>0.75686938049821006</v>
      </c>
      <c r="J73" s="45"/>
      <c r="K73" s="241"/>
      <c r="L73" s="45"/>
      <c r="M73" s="46">
        <f t="shared" si="11"/>
        <v>442440</v>
      </c>
      <c r="N73" s="47">
        <f t="shared" si="11"/>
        <v>784097.3</v>
      </c>
      <c r="O73" s="46">
        <f t="shared" si="11"/>
        <v>477440</v>
      </c>
      <c r="P73" s="47">
        <f>P71+P72</f>
        <v>0</v>
      </c>
      <c r="Q73" s="46" t="e">
        <f>Q71+Q72</f>
        <v>#REF!</v>
      </c>
      <c r="R73" s="47" t="e">
        <f>R71+R72</f>
        <v>#REF!</v>
      </c>
      <c r="S73" s="49" t="e">
        <f>S71+S72</f>
        <v>#VALUE!</v>
      </c>
      <c r="T73" s="57" t="e">
        <f>+#REF!+#REF!+D73+M73+O73</f>
        <v>#REF!</v>
      </c>
      <c r="U73" s="57"/>
    </row>
    <row r="74" spans="1:21" ht="18.75" x14ac:dyDescent="0.3">
      <c r="A74" s="30"/>
      <c r="B74" s="83"/>
      <c r="C74" s="45"/>
      <c r="D74" s="53"/>
      <c r="E74" s="54"/>
      <c r="F74" s="55"/>
      <c r="G74" s="56"/>
      <c r="H74" s="91"/>
      <c r="I74" s="92"/>
      <c r="J74" s="45"/>
      <c r="K74" s="92"/>
      <c r="L74" s="45"/>
      <c r="M74" s="53"/>
      <c r="N74" s="54"/>
      <c r="O74" s="53"/>
      <c r="P74" s="54"/>
      <c r="Q74" s="53"/>
      <c r="R74" s="54"/>
      <c r="S74" s="56"/>
      <c r="U74" s="93"/>
    </row>
    <row r="75" spans="1:21" s="43" customFormat="1" x14ac:dyDescent="0.25">
      <c r="A75" s="94" t="s">
        <v>48</v>
      </c>
      <c r="B75" s="25" t="s">
        <v>49</v>
      </c>
      <c r="C75" s="28"/>
      <c r="D75" s="26"/>
      <c r="E75" s="26"/>
      <c r="F75" s="26"/>
      <c r="G75" s="26"/>
      <c r="H75" s="26"/>
      <c r="I75" s="27"/>
      <c r="J75" s="28"/>
      <c r="K75" s="27"/>
      <c r="L75" s="28"/>
      <c r="M75" s="26"/>
      <c r="N75" s="26"/>
      <c r="O75" s="26"/>
      <c r="P75" s="26"/>
      <c r="Q75" s="26"/>
      <c r="R75" s="26"/>
      <c r="S75" s="26"/>
    </row>
    <row r="76" spans="1:21" s="43" customFormat="1" x14ac:dyDescent="0.25">
      <c r="A76" s="40"/>
      <c r="B76" s="41" t="s">
        <v>11</v>
      </c>
      <c r="C76" s="33"/>
      <c r="D76" s="79"/>
      <c r="E76" s="35">
        <v>23667.329815027693</v>
      </c>
      <c r="F76" s="36">
        <v>38185.678646968467</v>
      </c>
      <c r="G76" s="37">
        <v>0</v>
      </c>
      <c r="H76" s="42"/>
      <c r="I76" s="39">
        <f t="shared" ref="I76:I85" si="12">IFERROR(G76/F76,0)</f>
        <v>0</v>
      </c>
      <c r="J76" s="33"/>
      <c r="K76" s="221" t="s">
        <v>50</v>
      </c>
      <c r="L76" s="33"/>
      <c r="M76" s="79"/>
      <c r="N76" s="35">
        <v>29267.954971740888</v>
      </c>
      <c r="O76" s="79"/>
      <c r="P76" s="35"/>
      <c r="Q76" s="34" t="e">
        <f>+#REF!+#REF!+D76+M76+O76</f>
        <v>#REF!</v>
      </c>
      <c r="R76" s="35" t="e">
        <f>+#REF!+#REF!+E76+N76+O76</f>
        <v>#REF!</v>
      </c>
      <c r="S76" s="80"/>
    </row>
    <row r="77" spans="1:21" s="43" customFormat="1" x14ac:dyDescent="0.25">
      <c r="A77" s="40"/>
      <c r="B77" s="41" t="s">
        <v>13</v>
      </c>
      <c r="C77" s="33"/>
      <c r="D77" s="79"/>
      <c r="E77" s="35">
        <v>188313.77799979097</v>
      </c>
      <c r="F77" s="36">
        <v>190653.57206276187</v>
      </c>
      <c r="G77" s="37">
        <v>185751.9520133789</v>
      </c>
      <c r="H77" s="81"/>
      <c r="I77" s="39">
        <f t="shared" si="12"/>
        <v>0.97429043685701633</v>
      </c>
      <c r="J77" s="33"/>
      <c r="K77" s="224"/>
      <c r="L77" s="33"/>
      <c r="M77" s="79"/>
      <c r="N77" s="35">
        <v>178266.94627662876</v>
      </c>
      <c r="O77" s="79"/>
      <c r="P77" s="35"/>
      <c r="Q77" s="34" t="e">
        <f>+#REF!+#REF!+D77+M77+O77</f>
        <v>#REF!</v>
      </c>
      <c r="R77" s="35" t="e">
        <f>+#REF!+#REF!+E77+N77+O77</f>
        <v>#REF!</v>
      </c>
      <c r="S77" s="80"/>
    </row>
    <row r="78" spans="1:21" s="43" customFormat="1" x14ac:dyDescent="0.25">
      <c r="A78" s="40"/>
      <c r="B78" s="41" t="s">
        <v>14</v>
      </c>
      <c r="C78" s="33"/>
      <c r="D78" s="79"/>
      <c r="E78" s="35">
        <v>30398.405267008045</v>
      </c>
      <c r="F78" s="36">
        <v>19092.839323484233</v>
      </c>
      <c r="G78" s="37">
        <v>77199.25352001391</v>
      </c>
      <c r="H78" s="81"/>
      <c r="I78" s="39">
        <f t="shared" si="12"/>
        <v>4.0433616086141084</v>
      </c>
      <c r="J78" s="33"/>
      <c r="K78" s="224"/>
      <c r="L78" s="33"/>
      <c r="M78" s="79"/>
      <c r="N78" s="35">
        <v>14124.785417054842</v>
      </c>
      <c r="O78" s="79"/>
      <c r="P78" s="35"/>
      <c r="Q78" s="34" t="e">
        <f>+#REF!+#REF!+D78+M78+O78</f>
        <v>#REF!</v>
      </c>
      <c r="R78" s="35" t="e">
        <f>+#REF!+#REF!+E78+N78+O78</f>
        <v>#REF!</v>
      </c>
      <c r="S78" s="80"/>
    </row>
    <row r="79" spans="1:21" s="43" customFormat="1" x14ac:dyDescent="0.25">
      <c r="A79" s="40"/>
      <c r="B79" s="41" t="s">
        <v>15</v>
      </c>
      <c r="C79" s="33"/>
      <c r="D79" s="34"/>
      <c r="E79" s="35">
        <v>6948.2069181732677</v>
      </c>
      <c r="F79" s="36">
        <v>9000.9099667854243</v>
      </c>
      <c r="G79" s="37">
        <v>0</v>
      </c>
      <c r="H79" s="42"/>
      <c r="I79" s="39">
        <f t="shared" si="12"/>
        <v>0</v>
      </c>
      <c r="J79" s="33"/>
      <c r="K79" s="224"/>
      <c r="L79" s="33"/>
      <c r="M79" s="34"/>
      <c r="N79" s="35">
        <v>45199.31333457549</v>
      </c>
      <c r="O79" s="34"/>
      <c r="P79" s="35"/>
      <c r="Q79" s="34" t="e">
        <f>+#REF!+#REF!+D79+M79+O79</f>
        <v>#REF!</v>
      </c>
      <c r="R79" s="35" t="e">
        <f>+#REF!+#REF!+E79+N79+O79</f>
        <v>#REF!</v>
      </c>
      <c r="S79" s="80"/>
    </row>
    <row r="80" spans="1:21" s="43" customFormat="1" x14ac:dyDescent="0.25">
      <c r="A80" s="40"/>
      <c r="B80" s="41" t="s">
        <v>16</v>
      </c>
      <c r="C80" s="33"/>
      <c r="D80" s="34"/>
      <c r="E80" s="35">
        <v>6000</v>
      </c>
      <c r="F80" s="36">
        <v>1800</v>
      </c>
      <c r="G80" s="37">
        <v>618.08000000000004</v>
      </c>
      <c r="H80" s="42"/>
      <c r="I80" s="39">
        <f t="shared" si="12"/>
        <v>0.34337777777777778</v>
      </c>
      <c r="J80" s="33"/>
      <c r="K80" s="224"/>
      <c r="L80" s="33"/>
      <c r="M80" s="34"/>
      <c r="N80" s="35">
        <v>6000</v>
      </c>
      <c r="O80" s="34"/>
      <c r="P80" s="35"/>
      <c r="Q80" s="34" t="e">
        <f>+#REF!+#REF!+D80+M80+O80</f>
        <v>#REF!</v>
      </c>
      <c r="R80" s="35" t="e">
        <f>+#REF!+#REF!+E80+N80+O80</f>
        <v>#REF!</v>
      </c>
      <c r="S80" s="80"/>
    </row>
    <row r="81" spans="1:21" s="43" customFormat="1" x14ac:dyDescent="0.25">
      <c r="A81" s="40"/>
      <c r="B81" s="41" t="s">
        <v>17</v>
      </c>
      <c r="C81" s="33"/>
      <c r="D81" s="34"/>
      <c r="E81" s="35">
        <v>5280</v>
      </c>
      <c r="F81" s="36">
        <v>14802</v>
      </c>
      <c r="G81" s="37">
        <v>10700.852662108075</v>
      </c>
      <c r="H81" s="42"/>
      <c r="I81" s="39">
        <f t="shared" si="12"/>
        <v>0.72293289164356667</v>
      </c>
      <c r="J81" s="33"/>
      <c r="K81" s="224"/>
      <c r="L81" s="33"/>
      <c r="M81" s="34"/>
      <c r="N81" s="35">
        <v>5000</v>
      </c>
      <c r="O81" s="34"/>
      <c r="P81" s="35"/>
      <c r="Q81" s="34" t="e">
        <f>+#REF!+#REF!+D81+M81+O81</f>
        <v>#REF!</v>
      </c>
      <c r="R81" s="35" t="e">
        <f>+#REF!+#REF!+E81+N81+O81</f>
        <v>#REF!</v>
      </c>
      <c r="S81" s="80"/>
    </row>
    <row r="82" spans="1:21" s="43" customFormat="1" x14ac:dyDescent="0.25">
      <c r="A82" s="40"/>
      <c r="B82" s="41" t="s">
        <v>18</v>
      </c>
      <c r="C82" s="33"/>
      <c r="D82" s="79"/>
      <c r="E82" s="35">
        <v>34452</v>
      </c>
      <c r="F82" s="36">
        <v>31521</v>
      </c>
      <c r="G82" s="37">
        <v>27336.781804499104</v>
      </c>
      <c r="H82" s="81"/>
      <c r="I82" s="39">
        <f t="shared" si="12"/>
        <v>0.86725617221849249</v>
      </c>
      <c r="J82" s="33"/>
      <c r="K82" s="224"/>
      <c r="L82" s="33"/>
      <c r="M82" s="79"/>
      <c r="N82" s="35">
        <v>28200</v>
      </c>
      <c r="O82" s="79"/>
      <c r="P82" s="35"/>
      <c r="Q82" s="34" t="e">
        <f>+#REF!+#REF!+D82+M82+O82</f>
        <v>#REF!</v>
      </c>
      <c r="R82" s="35" t="e">
        <f>+#REF!+#REF!+E82+N82+O82</f>
        <v>#REF!</v>
      </c>
      <c r="S82" s="80"/>
    </row>
    <row r="83" spans="1:21" ht="18.75" x14ac:dyDescent="0.3">
      <c r="A83" s="30"/>
      <c r="B83" s="44" t="s">
        <v>19</v>
      </c>
      <c r="C83" s="45"/>
      <c r="D83" s="46">
        <f t="shared" ref="D83:O83" si="13">SUM(D76:D82)</f>
        <v>0</v>
      </c>
      <c r="E83" s="47">
        <f t="shared" si="13"/>
        <v>295059.71999999997</v>
      </c>
      <c r="F83" s="48">
        <f t="shared" si="13"/>
        <v>305056</v>
      </c>
      <c r="G83" s="49">
        <f>SUM(G76:G82)</f>
        <v>301606.92000000004</v>
      </c>
      <c r="H83" s="50">
        <f>+F83-G83</f>
        <v>3449.0799999999581</v>
      </c>
      <c r="I83" s="51">
        <f t="shared" si="12"/>
        <v>0.98869361690968227</v>
      </c>
      <c r="J83" s="45"/>
      <c r="K83" s="224"/>
      <c r="L83" s="45"/>
      <c r="M83" s="46">
        <f t="shared" si="13"/>
        <v>0</v>
      </c>
      <c r="N83" s="47">
        <f t="shared" si="13"/>
        <v>306059</v>
      </c>
      <c r="O83" s="46">
        <f t="shared" si="13"/>
        <v>0</v>
      </c>
      <c r="P83" s="47">
        <f>SUM(P76:P82)</f>
        <v>0</v>
      </c>
      <c r="Q83" s="46" t="e">
        <f>SUM(Q76:Q82)</f>
        <v>#REF!</v>
      </c>
      <c r="R83" s="47" t="e">
        <f>SUM(R76:R82)</f>
        <v>#REF!</v>
      </c>
      <c r="S83" s="49" t="e">
        <v>#VALUE!</v>
      </c>
    </row>
    <row r="84" spans="1:21" x14ac:dyDescent="0.25">
      <c r="A84" s="30"/>
      <c r="B84" s="41" t="s">
        <v>20</v>
      </c>
      <c r="C84" s="33"/>
      <c r="D84" s="79"/>
      <c r="E84" s="35">
        <v>39342.442105263159</v>
      </c>
      <c r="F84" s="36">
        <v>48326</v>
      </c>
      <c r="G84" s="37">
        <v>54741.4</v>
      </c>
      <c r="H84" s="42"/>
      <c r="I84" s="39">
        <f t="shared" si="12"/>
        <v>1.1327525555601541</v>
      </c>
      <c r="J84" s="33"/>
      <c r="K84" s="224"/>
      <c r="L84" s="33"/>
      <c r="M84" s="79"/>
      <c r="N84" s="35">
        <v>50126.299999999988</v>
      </c>
      <c r="O84" s="79"/>
      <c r="P84" s="82"/>
      <c r="Q84" s="34" t="e">
        <f>+#REF!+#REF!+D84+M84+O84</f>
        <v>#REF!</v>
      </c>
      <c r="R84" s="82" t="e">
        <f>+#REF!+#REF!+E84+N84+O84</f>
        <v>#REF!</v>
      </c>
      <c r="S84" s="37" t="e">
        <v>#VALUE!</v>
      </c>
    </row>
    <row r="85" spans="1:21" s="84" customFormat="1" ht="18.75" x14ac:dyDescent="0.3">
      <c r="A85" s="30"/>
      <c r="B85" s="83" t="s">
        <v>36</v>
      </c>
      <c r="C85" s="45"/>
      <c r="D85" s="53">
        <f t="shared" ref="D85:S85" si="14">D83+D84</f>
        <v>0</v>
      </c>
      <c r="E85" s="54">
        <f t="shared" si="14"/>
        <v>334402.16210526315</v>
      </c>
      <c r="F85" s="55">
        <f t="shared" si="14"/>
        <v>353382</v>
      </c>
      <c r="G85" s="56">
        <f t="shared" si="14"/>
        <v>356348.32000000007</v>
      </c>
      <c r="H85" s="50">
        <f>+F85-G85</f>
        <v>-2966.3200000000652</v>
      </c>
      <c r="I85" s="51">
        <f t="shared" si="12"/>
        <v>1.0083940891160277</v>
      </c>
      <c r="J85" s="45"/>
      <c r="K85" s="225"/>
      <c r="L85" s="45"/>
      <c r="M85" s="53">
        <f t="shared" si="14"/>
        <v>0</v>
      </c>
      <c r="N85" s="54">
        <f t="shared" si="14"/>
        <v>356185.3</v>
      </c>
      <c r="O85" s="53">
        <f t="shared" si="14"/>
        <v>0</v>
      </c>
      <c r="P85" s="54">
        <f t="shared" si="14"/>
        <v>0</v>
      </c>
      <c r="Q85" s="53" t="e">
        <f t="shared" si="14"/>
        <v>#REF!</v>
      </c>
      <c r="R85" s="54" t="e">
        <f t="shared" si="14"/>
        <v>#REF!</v>
      </c>
      <c r="S85" s="56" t="e">
        <f t="shared" si="14"/>
        <v>#VALUE!</v>
      </c>
      <c r="T85" s="57" t="e">
        <f>+#REF!+#REF!+D85+M85+O85</f>
        <v>#REF!</v>
      </c>
      <c r="U85" s="57"/>
    </row>
    <row r="86" spans="1:21" s="87" customFormat="1" ht="18.75" x14ac:dyDescent="0.3">
      <c r="A86" s="85"/>
      <c r="B86" s="85"/>
      <c r="C86" s="68"/>
      <c r="D86" s="69"/>
      <c r="E86" s="70"/>
      <c r="F86" s="71"/>
      <c r="G86" s="72"/>
      <c r="H86" s="85"/>
      <c r="I86" s="86"/>
      <c r="J86" s="68"/>
      <c r="K86" s="86"/>
      <c r="L86" s="68"/>
      <c r="M86" s="69"/>
      <c r="N86" s="70"/>
      <c r="O86" s="69"/>
      <c r="P86" s="70"/>
      <c r="Q86" s="69"/>
      <c r="R86" s="70"/>
      <c r="S86" s="72"/>
    </row>
    <row r="87" spans="1:21" s="43" customFormat="1" ht="18.75" x14ac:dyDescent="0.3">
      <c r="A87" s="94" t="s">
        <v>51</v>
      </c>
      <c r="B87" s="95" t="s">
        <v>52</v>
      </c>
      <c r="C87" s="96"/>
      <c r="D87" s="26"/>
      <c r="E87" s="26"/>
      <c r="F87" s="26"/>
      <c r="G87" s="26"/>
      <c r="H87" s="26"/>
      <c r="I87" s="27"/>
      <c r="J87" s="96"/>
      <c r="K87" s="27"/>
      <c r="L87" s="96"/>
      <c r="M87" s="26"/>
      <c r="N87" s="26"/>
      <c r="O87" s="26"/>
      <c r="P87" s="26"/>
      <c r="Q87" s="26"/>
      <c r="R87" s="26"/>
      <c r="S87" s="26"/>
    </row>
    <row r="88" spans="1:21" s="43" customFormat="1" x14ac:dyDescent="0.25">
      <c r="A88" s="40"/>
      <c r="B88" s="41" t="s">
        <v>11</v>
      </c>
      <c r="C88" s="33"/>
      <c r="D88" s="79"/>
      <c r="E88" s="35">
        <v>6350.1419183266426</v>
      </c>
      <c r="F88" s="36">
        <v>0</v>
      </c>
      <c r="G88" s="37">
        <v>0</v>
      </c>
      <c r="H88" s="42"/>
      <c r="I88" s="39">
        <f t="shared" ref="I88:I97" si="15">IFERROR(G88/F88,0)</f>
        <v>0</v>
      </c>
      <c r="J88" s="33"/>
      <c r="K88" s="232" t="s">
        <v>53</v>
      </c>
      <c r="L88" s="33"/>
      <c r="M88" s="79"/>
      <c r="N88" s="35">
        <v>0</v>
      </c>
      <c r="O88" s="79"/>
      <c r="P88" s="35"/>
      <c r="Q88" s="34" t="e">
        <f>+#REF!+#REF!+D88+M88+O88</f>
        <v>#REF!</v>
      </c>
      <c r="R88" s="35" t="e">
        <f>+#REF!+#REF!+E88+N88+O88</f>
        <v>#REF!</v>
      </c>
      <c r="S88" s="80"/>
    </row>
    <row r="89" spans="1:21" s="43" customFormat="1" x14ac:dyDescent="0.25">
      <c r="A89" s="40"/>
      <c r="B89" s="41" t="s">
        <v>13</v>
      </c>
      <c r="C89" s="33"/>
      <c r="D89" s="79"/>
      <c r="E89" s="35">
        <v>166843.62876211421</v>
      </c>
      <c r="F89" s="36">
        <v>92402.625751391461</v>
      </c>
      <c r="G89" s="37">
        <v>49483.022913367538</v>
      </c>
      <c r="H89" s="81"/>
      <c r="I89" s="39">
        <f t="shared" si="15"/>
        <v>0.53551533315190869</v>
      </c>
      <c r="J89" s="33"/>
      <c r="K89" s="233"/>
      <c r="L89" s="33"/>
      <c r="M89" s="79"/>
      <c r="N89" s="35">
        <v>370700</v>
      </c>
      <c r="O89" s="79"/>
      <c r="P89" s="35"/>
      <c r="Q89" s="34" t="e">
        <f>+#REF!+#REF!+D89+M89+O89</f>
        <v>#REF!</v>
      </c>
      <c r="R89" s="35" t="e">
        <f>+#REF!+#REF!+E89+N89+O89</f>
        <v>#REF!</v>
      </c>
      <c r="S89" s="80"/>
    </row>
    <row r="90" spans="1:21" s="43" customFormat="1" x14ac:dyDescent="0.25">
      <c r="A90" s="40"/>
      <c r="B90" s="41" t="s">
        <v>14</v>
      </c>
      <c r="C90" s="33"/>
      <c r="D90" s="79"/>
      <c r="E90" s="35">
        <v>75141.229319559148</v>
      </c>
      <c r="F90" s="36">
        <v>57585.374248608532</v>
      </c>
      <c r="G90" s="37">
        <v>17865.257086632464</v>
      </c>
      <c r="H90" s="81"/>
      <c r="I90" s="39">
        <f t="shared" si="15"/>
        <v>0.31023948910194243</v>
      </c>
      <c r="J90" s="33"/>
      <c r="K90" s="233"/>
      <c r="L90" s="33"/>
      <c r="M90" s="79"/>
      <c r="N90" s="35">
        <v>0</v>
      </c>
      <c r="O90" s="79"/>
      <c r="P90" s="35"/>
      <c r="Q90" s="34" t="e">
        <f>+#REF!+#REF!+D90+M90+O90</f>
        <v>#REF!</v>
      </c>
      <c r="R90" s="35" t="e">
        <f>+#REF!+#REF!+E90+N90+O90</f>
        <v>#REF!</v>
      </c>
      <c r="S90" s="80"/>
    </row>
    <row r="91" spans="1:21" s="43" customFormat="1" x14ac:dyDescent="0.25">
      <c r="A91" s="40"/>
      <c r="B91" s="41" t="s">
        <v>15</v>
      </c>
      <c r="C91" s="33"/>
      <c r="D91" s="34"/>
      <c r="E91" s="35">
        <v>0</v>
      </c>
      <c r="F91" s="36">
        <v>0</v>
      </c>
      <c r="G91" s="37">
        <v>0</v>
      </c>
      <c r="H91" s="42"/>
      <c r="I91" s="39">
        <f t="shared" si="15"/>
        <v>0</v>
      </c>
      <c r="J91" s="33"/>
      <c r="K91" s="233"/>
      <c r="L91" s="33"/>
      <c r="M91" s="34"/>
      <c r="N91" s="35">
        <v>0</v>
      </c>
      <c r="O91" s="34"/>
      <c r="P91" s="35"/>
      <c r="Q91" s="34" t="e">
        <f>+#REF!+#REF!+D91+M91+O91</f>
        <v>#REF!</v>
      </c>
      <c r="R91" s="35" t="e">
        <f>+#REF!+#REF!+E91+N91+O91</f>
        <v>#REF!</v>
      </c>
      <c r="S91" s="80"/>
    </row>
    <row r="92" spans="1:21" s="43" customFormat="1" x14ac:dyDescent="0.25">
      <c r="A92" s="40"/>
      <c r="B92" s="41" t="s">
        <v>16</v>
      </c>
      <c r="C92" s="33"/>
      <c r="D92" s="34"/>
      <c r="E92" s="35">
        <v>8000</v>
      </c>
      <c r="F92" s="36">
        <v>1000</v>
      </c>
      <c r="G92" s="37">
        <v>48</v>
      </c>
      <c r="H92" s="42"/>
      <c r="I92" s="39">
        <f t="shared" si="15"/>
        <v>4.8000000000000001E-2</v>
      </c>
      <c r="J92" s="33"/>
      <c r="K92" s="233"/>
      <c r="L92" s="33"/>
      <c r="M92" s="34"/>
      <c r="N92" s="35">
        <v>8000</v>
      </c>
      <c r="O92" s="34"/>
      <c r="P92" s="35"/>
      <c r="Q92" s="34" t="e">
        <f>+#REF!+#REF!+D92+M92+O92</f>
        <v>#REF!</v>
      </c>
      <c r="R92" s="35" t="e">
        <f>+#REF!+#REF!+E92+N92+O92</f>
        <v>#REF!</v>
      </c>
      <c r="S92" s="80"/>
    </row>
    <row r="93" spans="1:21" s="43" customFormat="1" x14ac:dyDescent="0.25">
      <c r="A93" s="40"/>
      <c r="B93" s="41" t="s">
        <v>17</v>
      </c>
      <c r="C93" s="33"/>
      <c r="D93" s="34"/>
      <c r="E93" s="35">
        <v>1210</v>
      </c>
      <c r="F93" s="36">
        <v>2138.6880000000001</v>
      </c>
      <c r="G93" s="37">
        <v>0</v>
      </c>
      <c r="H93" s="42"/>
      <c r="I93" s="39">
        <f t="shared" si="15"/>
        <v>0</v>
      </c>
      <c r="J93" s="33"/>
      <c r="K93" s="233"/>
      <c r="L93" s="33"/>
      <c r="M93" s="34"/>
      <c r="N93" s="35">
        <v>0</v>
      </c>
      <c r="O93" s="34"/>
      <c r="P93" s="35"/>
      <c r="Q93" s="34" t="e">
        <f>+#REF!+#REF!+D93+M93+O93</f>
        <v>#REF!</v>
      </c>
      <c r="R93" s="35" t="e">
        <f>+#REF!+#REF!+E93+N93+O93</f>
        <v>#REF!</v>
      </c>
      <c r="S93" s="80"/>
    </row>
    <row r="94" spans="1:21" s="43" customFormat="1" x14ac:dyDescent="0.25">
      <c r="A94" s="40"/>
      <c r="B94" s="41" t="s">
        <v>18</v>
      </c>
      <c r="C94" s="33"/>
      <c r="D94" s="79"/>
      <c r="E94" s="35">
        <v>0</v>
      </c>
      <c r="F94" s="36">
        <v>1000</v>
      </c>
      <c r="G94" s="37">
        <v>0</v>
      </c>
      <c r="H94" s="81"/>
      <c r="I94" s="39">
        <f t="shared" si="15"/>
        <v>0</v>
      </c>
      <c r="J94" s="33"/>
      <c r="K94" s="233"/>
      <c r="L94" s="33"/>
      <c r="M94" s="79"/>
      <c r="N94" s="35">
        <v>1000</v>
      </c>
      <c r="O94" s="79"/>
      <c r="P94" s="35"/>
      <c r="Q94" s="34" t="e">
        <f>+#REF!+#REF!+D94+M94+O94</f>
        <v>#REF!</v>
      </c>
      <c r="R94" s="35" t="e">
        <f>+#REF!+#REF!+E94+N94+O94</f>
        <v>#REF!</v>
      </c>
      <c r="S94" s="80"/>
    </row>
    <row r="95" spans="1:21" ht="18.75" x14ac:dyDescent="0.3">
      <c r="A95" s="30"/>
      <c r="B95" s="44" t="s">
        <v>19</v>
      </c>
      <c r="C95" s="45"/>
      <c r="D95" s="46">
        <f>SUM(D88:D94)</f>
        <v>0</v>
      </c>
      <c r="E95" s="47">
        <f>SUM(E88:E94)</f>
        <v>257545</v>
      </c>
      <c r="F95" s="48">
        <f>SUM(F88:F94)</f>
        <v>154126.68799999999</v>
      </c>
      <c r="G95" s="49">
        <f>SUM(G88:G94)</f>
        <v>67396.28</v>
      </c>
      <c r="H95" s="50">
        <f>+F95-G95</f>
        <v>86730.407999999996</v>
      </c>
      <c r="I95" s="51">
        <f t="shared" si="15"/>
        <v>0.43727845498113865</v>
      </c>
      <c r="J95" s="45"/>
      <c r="K95" s="233"/>
      <c r="L95" s="45"/>
      <c r="M95" s="46">
        <f t="shared" ref="M95:R95" si="16">SUM(M88:M94)</f>
        <v>0</v>
      </c>
      <c r="N95" s="47">
        <f t="shared" si="16"/>
        <v>379700</v>
      </c>
      <c r="O95" s="46">
        <f t="shared" si="16"/>
        <v>0</v>
      </c>
      <c r="P95" s="47">
        <f t="shared" si="16"/>
        <v>0</v>
      </c>
      <c r="Q95" s="46" t="e">
        <f t="shared" si="16"/>
        <v>#REF!</v>
      </c>
      <c r="R95" s="47" t="e">
        <f t="shared" si="16"/>
        <v>#REF!</v>
      </c>
      <c r="S95" s="49" t="e">
        <v>#VALUE!</v>
      </c>
    </row>
    <row r="96" spans="1:21" x14ac:dyDescent="0.25">
      <c r="A96" s="30"/>
      <c r="B96" s="41" t="s">
        <v>20</v>
      </c>
      <c r="C96" s="33"/>
      <c r="D96" s="79"/>
      <c r="E96" s="35">
        <v>52086.442105263159</v>
      </c>
      <c r="F96" s="36">
        <v>47212</v>
      </c>
      <c r="G96" s="37">
        <v>43797.5</v>
      </c>
      <c r="H96" s="42"/>
      <c r="I96" s="39">
        <f t="shared" si="15"/>
        <v>0.92767728543590611</v>
      </c>
      <c r="J96" s="33"/>
      <c r="K96" s="233"/>
      <c r="L96" s="33"/>
      <c r="M96" s="79"/>
      <c r="N96" s="35">
        <v>48212</v>
      </c>
      <c r="O96" s="79"/>
      <c r="P96" s="82"/>
      <c r="Q96" s="34" t="e">
        <f>+#REF!+#REF!+D96+M96+O96</f>
        <v>#REF!</v>
      </c>
      <c r="R96" s="82" t="e">
        <f>+#REF!+#REF!+E96+N96+O96</f>
        <v>#REF!</v>
      </c>
      <c r="S96" s="37" t="e">
        <v>#VALUE!</v>
      </c>
    </row>
    <row r="97" spans="1:21" s="84" customFormat="1" ht="18.75" x14ac:dyDescent="0.3">
      <c r="A97" s="30"/>
      <c r="B97" s="83" t="s">
        <v>36</v>
      </c>
      <c r="C97" s="45"/>
      <c r="D97" s="53">
        <f t="shared" ref="D97:S97" si="17">D95+D96</f>
        <v>0</v>
      </c>
      <c r="E97" s="54">
        <f t="shared" si="17"/>
        <v>309631.44210526318</v>
      </c>
      <c r="F97" s="55">
        <f t="shared" si="17"/>
        <v>201338.68799999999</v>
      </c>
      <c r="G97" s="56">
        <f t="shared" si="17"/>
        <v>111193.78</v>
      </c>
      <c r="H97" s="50">
        <f>+F97-G97</f>
        <v>90144.907999999996</v>
      </c>
      <c r="I97" s="51">
        <f t="shared" si="15"/>
        <v>0.55227229850628612</v>
      </c>
      <c r="J97" s="45"/>
      <c r="K97" s="234"/>
      <c r="L97" s="45"/>
      <c r="M97" s="53">
        <f t="shared" si="17"/>
        <v>0</v>
      </c>
      <c r="N97" s="54">
        <f t="shared" si="17"/>
        <v>427912</v>
      </c>
      <c r="O97" s="53">
        <f t="shared" si="17"/>
        <v>0</v>
      </c>
      <c r="P97" s="54">
        <f t="shared" si="17"/>
        <v>0</v>
      </c>
      <c r="Q97" s="53" t="e">
        <f t="shared" si="17"/>
        <v>#REF!</v>
      </c>
      <c r="R97" s="54" t="e">
        <f t="shared" si="17"/>
        <v>#REF!</v>
      </c>
      <c r="S97" s="56" t="e">
        <f t="shared" si="17"/>
        <v>#VALUE!</v>
      </c>
      <c r="T97" s="57" t="e">
        <f>+#REF!+#REF!+D97+M97+O97</f>
        <v>#REF!</v>
      </c>
      <c r="U97" s="57"/>
    </row>
    <row r="98" spans="1:21" s="87" customFormat="1" ht="18.75" x14ac:dyDescent="0.3">
      <c r="A98" s="85"/>
      <c r="B98" s="85"/>
      <c r="C98" s="68"/>
      <c r="D98" s="69"/>
      <c r="E98" s="70"/>
      <c r="F98" s="71"/>
      <c r="G98" s="72"/>
      <c r="H98" s="85"/>
      <c r="I98" s="86"/>
      <c r="J98" s="68"/>
      <c r="K98" s="86"/>
      <c r="L98" s="68"/>
      <c r="M98" s="69"/>
      <c r="N98" s="70"/>
      <c r="O98" s="69"/>
      <c r="P98" s="70"/>
      <c r="Q98" s="69"/>
      <c r="R98" s="70"/>
      <c r="S98" s="72"/>
    </row>
    <row r="99" spans="1:21" s="43" customFormat="1" x14ac:dyDescent="0.25">
      <c r="A99" s="94" t="s">
        <v>54</v>
      </c>
      <c r="B99" s="25" t="s">
        <v>55</v>
      </c>
      <c r="C99" s="28"/>
      <c r="D99" s="26"/>
      <c r="E99" s="26"/>
      <c r="F99" s="26"/>
      <c r="G99" s="26"/>
      <c r="H99" s="26"/>
      <c r="I99" s="27"/>
      <c r="J99" s="28"/>
      <c r="K99" s="27"/>
      <c r="L99" s="28"/>
      <c r="M99" s="26"/>
      <c r="N99" s="26"/>
      <c r="O99" s="26"/>
      <c r="P99" s="26"/>
      <c r="Q99" s="26"/>
      <c r="R99" s="26"/>
      <c r="S99" s="26"/>
    </row>
    <row r="100" spans="1:21" s="43" customFormat="1" x14ac:dyDescent="0.25">
      <c r="A100" s="40"/>
      <c r="B100" s="41" t="s">
        <v>11</v>
      </c>
      <c r="C100" s="33"/>
      <c r="D100" s="79"/>
      <c r="E100" s="35">
        <v>56798.062613723327</v>
      </c>
      <c r="F100" s="36">
        <v>14278.823981552652</v>
      </c>
      <c r="G100" s="37">
        <v>30636.947094772248</v>
      </c>
      <c r="H100" s="42"/>
      <c r="I100" s="39">
        <f t="shared" ref="I100:I109" si="18">IFERROR(G100/F100,0)</f>
        <v>2.1456211754100525</v>
      </c>
      <c r="J100" s="33"/>
      <c r="K100" s="232" t="s">
        <v>56</v>
      </c>
      <c r="L100" s="33"/>
      <c r="M100" s="79"/>
      <c r="N100" s="35"/>
      <c r="O100" s="79"/>
      <c r="P100" s="35"/>
      <c r="Q100" s="34" t="e">
        <f>+#REF!+#REF!+D100+M100+O100</f>
        <v>#REF!</v>
      </c>
      <c r="R100" s="35" t="e">
        <f>+#REF!+#REF!+E100+N100+O100</f>
        <v>#REF!</v>
      </c>
      <c r="S100" s="80"/>
    </row>
    <row r="101" spans="1:21" s="43" customFormat="1" x14ac:dyDescent="0.25">
      <c r="A101" s="40"/>
      <c r="B101" s="41" t="s">
        <v>13</v>
      </c>
      <c r="C101" s="33"/>
      <c r="D101" s="79"/>
      <c r="E101" s="35">
        <v>115100.70966754528</v>
      </c>
      <c r="F101" s="36">
        <v>99647.963105303614</v>
      </c>
      <c r="G101" s="37">
        <v>8164.8125508584881</v>
      </c>
      <c r="H101" s="81"/>
      <c r="I101" s="39">
        <f t="shared" si="18"/>
        <v>8.1936572473942801E-2</v>
      </c>
      <c r="J101" s="33"/>
      <c r="K101" s="233"/>
      <c r="L101" s="33"/>
      <c r="M101" s="79"/>
      <c r="N101" s="35"/>
      <c r="O101" s="79"/>
      <c r="P101" s="35"/>
      <c r="Q101" s="34" t="e">
        <f>+#REF!+#REF!+D101+M101+O101</f>
        <v>#REF!</v>
      </c>
      <c r="R101" s="35" t="e">
        <f>+#REF!+#REF!+E101+N101+O101</f>
        <v>#REF!</v>
      </c>
      <c r="S101" s="80"/>
    </row>
    <row r="102" spans="1:21" s="43" customFormat="1" x14ac:dyDescent="0.25">
      <c r="A102" s="40"/>
      <c r="B102" s="41" t="s">
        <v>14</v>
      </c>
      <c r="C102" s="33"/>
      <c r="D102" s="79"/>
      <c r="E102" s="35">
        <v>60935.669823994562</v>
      </c>
      <c r="F102" s="36">
        <v>86766.641045349737</v>
      </c>
      <c r="G102" s="37">
        <v>47240.590453343386</v>
      </c>
      <c r="H102" s="81"/>
      <c r="I102" s="39">
        <f t="shared" si="18"/>
        <v>0.54445567886686386</v>
      </c>
      <c r="J102" s="33"/>
      <c r="K102" s="233"/>
      <c r="L102" s="33"/>
      <c r="M102" s="79"/>
      <c r="N102" s="35"/>
      <c r="O102" s="79"/>
      <c r="P102" s="35"/>
      <c r="Q102" s="34" t="e">
        <f>+#REF!+#REF!+D102+M102+O102</f>
        <v>#REF!</v>
      </c>
      <c r="R102" s="35" t="e">
        <f>+#REF!+#REF!+E102+N102+O102</f>
        <v>#REF!</v>
      </c>
      <c r="S102" s="80"/>
    </row>
    <row r="103" spans="1:21" s="43" customFormat="1" x14ac:dyDescent="0.25">
      <c r="A103" s="40"/>
      <c r="B103" s="41" t="s">
        <v>15</v>
      </c>
      <c r="C103" s="33"/>
      <c r="D103" s="34"/>
      <c r="E103" s="35">
        <v>0</v>
      </c>
      <c r="F103" s="36">
        <v>36456.571867794002</v>
      </c>
      <c r="G103" s="37">
        <v>34961.031478070014</v>
      </c>
      <c r="H103" s="42"/>
      <c r="I103" s="39">
        <f t="shared" si="18"/>
        <v>0.95897748161435992</v>
      </c>
      <c r="J103" s="33"/>
      <c r="K103" s="233"/>
      <c r="L103" s="33"/>
      <c r="M103" s="34"/>
      <c r="N103" s="35"/>
      <c r="O103" s="34"/>
      <c r="P103" s="35"/>
      <c r="Q103" s="34" t="e">
        <f>+#REF!+#REF!+D103+M103+O103</f>
        <v>#REF!</v>
      </c>
      <c r="R103" s="35" t="e">
        <f>+#REF!+#REF!+E103+N103+O103</f>
        <v>#REF!</v>
      </c>
      <c r="S103" s="80"/>
    </row>
    <row r="104" spans="1:21" s="43" customFormat="1" x14ac:dyDescent="0.25">
      <c r="A104" s="40"/>
      <c r="B104" s="41" t="s">
        <v>16</v>
      </c>
      <c r="C104" s="33"/>
      <c r="D104" s="34"/>
      <c r="E104" s="35">
        <v>0</v>
      </c>
      <c r="F104" s="36">
        <v>4000</v>
      </c>
      <c r="G104" s="37">
        <v>1956.2600000000002</v>
      </c>
      <c r="H104" s="42"/>
      <c r="I104" s="39">
        <f t="shared" si="18"/>
        <v>0.48906500000000003</v>
      </c>
      <c r="J104" s="33"/>
      <c r="K104" s="233"/>
      <c r="L104" s="33"/>
      <c r="M104" s="34"/>
      <c r="N104" s="35"/>
      <c r="O104" s="34"/>
      <c r="P104" s="35"/>
      <c r="Q104" s="34" t="e">
        <f>+#REF!+#REF!+D104+M104+O104</f>
        <v>#REF!</v>
      </c>
      <c r="R104" s="35" t="e">
        <f>+#REF!+#REF!+E104+N104+O104</f>
        <v>#REF!</v>
      </c>
      <c r="S104" s="80"/>
    </row>
    <row r="105" spans="1:21" s="43" customFormat="1" x14ac:dyDescent="0.25">
      <c r="A105" s="40"/>
      <c r="B105" s="41" t="s">
        <v>17</v>
      </c>
      <c r="C105" s="33"/>
      <c r="D105" s="34"/>
      <c r="E105" s="35">
        <v>0</v>
      </c>
      <c r="F105" s="36">
        <v>0</v>
      </c>
      <c r="G105" s="37">
        <v>0</v>
      </c>
      <c r="H105" s="42"/>
      <c r="I105" s="39">
        <f t="shared" si="18"/>
        <v>0</v>
      </c>
      <c r="J105" s="33"/>
      <c r="K105" s="233"/>
      <c r="L105" s="33"/>
      <c r="M105" s="34"/>
      <c r="N105" s="35"/>
      <c r="O105" s="34"/>
      <c r="P105" s="35"/>
      <c r="Q105" s="34" t="e">
        <f>+#REF!+#REF!+D105+M105+O105</f>
        <v>#REF!</v>
      </c>
      <c r="R105" s="35" t="e">
        <f>+#REF!+#REF!+E105+N105+O105</f>
        <v>#REF!</v>
      </c>
      <c r="S105" s="80"/>
    </row>
    <row r="106" spans="1:21" s="43" customFormat="1" x14ac:dyDescent="0.25">
      <c r="A106" s="40"/>
      <c r="B106" s="41" t="s">
        <v>18</v>
      </c>
      <c r="C106" s="33"/>
      <c r="D106" s="79"/>
      <c r="E106" s="35">
        <v>0</v>
      </c>
      <c r="F106" s="36">
        <v>7200</v>
      </c>
      <c r="G106" s="37">
        <v>11539.998422955876</v>
      </c>
      <c r="H106" s="81"/>
      <c r="I106" s="39">
        <f t="shared" si="18"/>
        <v>1.6027775587438717</v>
      </c>
      <c r="J106" s="33"/>
      <c r="K106" s="233"/>
      <c r="L106" s="33"/>
      <c r="M106" s="79"/>
      <c r="N106" s="35"/>
      <c r="O106" s="79"/>
      <c r="P106" s="35"/>
      <c r="Q106" s="34" t="e">
        <f>+#REF!+#REF!+D106+M106+O106</f>
        <v>#REF!</v>
      </c>
      <c r="R106" s="35" t="e">
        <f>+#REF!+#REF!+E106+N106+O106</f>
        <v>#REF!</v>
      </c>
      <c r="S106" s="80"/>
    </row>
    <row r="107" spans="1:21" ht="18.75" x14ac:dyDescent="0.3">
      <c r="A107" s="30"/>
      <c r="B107" s="44" t="s">
        <v>19</v>
      </c>
      <c r="C107" s="45"/>
      <c r="D107" s="46">
        <f>SUM(D100:D106)</f>
        <v>0</v>
      </c>
      <c r="E107" s="47">
        <f>SUM(E100:E106)</f>
        <v>232834.44210526318</v>
      </c>
      <c r="F107" s="48">
        <f>SUM(F100:F106)</f>
        <v>248350</v>
      </c>
      <c r="G107" s="49">
        <f>SUM(G100:G106)</f>
        <v>134499.64000000001</v>
      </c>
      <c r="H107" s="50">
        <f>+F107-G107</f>
        <v>113850.35999999999</v>
      </c>
      <c r="I107" s="51">
        <f t="shared" si="18"/>
        <v>0.54157294141332801</v>
      </c>
      <c r="J107" s="45"/>
      <c r="K107" s="233"/>
      <c r="L107" s="45"/>
      <c r="M107" s="46">
        <f t="shared" ref="M107:R107" si="19">SUM(M100:M106)</f>
        <v>0</v>
      </c>
      <c r="N107" s="47">
        <f t="shared" si="19"/>
        <v>0</v>
      </c>
      <c r="O107" s="46">
        <f t="shared" si="19"/>
        <v>0</v>
      </c>
      <c r="P107" s="47">
        <f t="shared" si="19"/>
        <v>0</v>
      </c>
      <c r="Q107" s="46" t="e">
        <f t="shared" si="19"/>
        <v>#REF!</v>
      </c>
      <c r="R107" s="47" t="e">
        <f t="shared" si="19"/>
        <v>#REF!</v>
      </c>
      <c r="S107" s="49" t="e">
        <v>#VALUE!</v>
      </c>
    </row>
    <row r="108" spans="1:21" x14ac:dyDescent="0.25">
      <c r="A108" s="30"/>
      <c r="B108" s="41" t="s">
        <v>20</v>
      </c>
      <c r="C108" s="33"/>
      <c r="D108" s="79"/>
      <c r="E108" s="35">
        <v>32165.557894736841</v>
      </c>
      <c r="F108" s="36">
        <v>32165.557894736841</v>
      </c>
      <c r="G108" s="37">
        <v>30123</v>
      </c>
      <c r="H108" s="42"/>
      <c r="I108" s="39">
        <f t="shared" si="18"/>
        <v>0.93649860196980883</v>
      </c>
      <c r="J108" s="33"/>
      <c r="K108" s="233"/>
      <c r="L108" s="33"/>
      <c r="M108" s="79"/>
      <c r="N108" s="82"/>
      <c r="O108" s="79"/>
      <c r="P108" s="82"/>
      <c r="Q108" s="34" t="e">
        <f>+#REF!+#REF!+D108+M108+O108</f>
        <v>#REF!</v>
      </c>
      <c r="R108" s="82" t="e">
        <f>+#REF!+#REF!+E108+N108+O108</f>
        <v>#REF!</v>
      </c>
      <c r="S108" s="37" t="e">
        <v>#VALUE!</v>
      </c>
    </row>
    <row r="109" spans="1:21" s="84" customFormat="1" ht="18.75" x14ac:dyDescent="0.3">
      <c r="A109" s="30"/>
      <c r="B109" s="83" t="s">
        <v>36</v>
      </c>
      <c r="C109" s="45"/>
      <c r="D109" s="53">
        <f t="shared" ref="D109:S109" si="20">D107+D108</f>
        <v>0</v>
      </c>
      <c r="E109" s="54">
        <f t="shared" si="20"/>
        <v>265000</v>
      </c>
      <c r="F109" s="55">
        <f t="shared" si="20"/>
        <v>280515.55789473682</v>
      </c>
      <c r="G109" s="56">
        <f t="shared" si="20"/>
        <v>164622.64000000001</v>
      </c>
      <c r="H109" s="50">
        <f>+F109-G109</f>
        <v>115892.91789473681</v>
      </c>
      <c r="I109" s="51">
        <f t="shared" si="18"/>
        <v>0.58685743220621833</v>
      </c>
      <c r="J109" s="45"/>
      <c r="K109" s="234"/>
      <c r="L109" s="45"/>
      <c r="M109" s="53">
        <f t="shared" si="20"/>
        <v>0</v>
      </c>
      <c r="N109" s="54">
        <f t="shared" si="20"/>
        <v>0</v>
      </c>
      <c r="O109" s="53">
        <f t="shared" si="20"/>
        <v>0</v>
      </c>
      <c r="P109" s="54">
        <f t="shared" si="20"/>
        <v>0</v>
      </c>
      <c r="Q109" s="53" t="e">
        <f t="shared" si="20"/>
        <v>#REF!</v>
      </c>
      <c r="R109" s="54" t="e">
        <f t="shared" si="20"/>
        <v>#REF!</v>
      </c>
      <c r="S109" s="56" t="e">
        <f t="shared" si="20"/>
        <v>#VALUE!</v>
      </c>
      <c r="T109" s="57" t="e">
        <f>+#REF!+#REF!+D109+M109+O109</f>
        <v>#REF!</v>
      </c>
      <c r="U109" s="57"/>
    </row>
    <row r="110" spans="1:21" s="87" customFormat="1" ht="18.75" x14ac:dyDescent="0.3">
      <c r="A110" s="85"/>
      <c r="B110" s="85"/>
      <c r="C110" s="68"/>
      <c r="D110" s="69"/>
      <c r="E110" s="70"/>
      <c r="F110" s="71"/>
      <c r="G110" s="72"/>
      <c r="H110" s="85"/>
      <c r="I110" s="86"/>
      <c r="J110" s="68"/>
      <c r="K110" s="86"/>
      <c r="L110" s="68"/>
      <c r="M110" s="69"/>
      <c r="N110" s="70"/>
      <c r="O110" s="69"/>
      <c r="P110" s="70"/>
      <c r="Q110" s="69"/>
      <c r="R110" s="70"/>
      <c r="S110" s="72"/>
    </row>
    <row r="111" spans="1:21" x14ac:dyDescent="0.25">
      <c r="A111" s="24" t="s">
        <v>57</v>
      </c>
      <c r="B111" s="25" t="s">
        <v>58</v>
      </c>
      <c r="C111" s="28"/>
      <c r="D111" s="26"/>
      <c r="E111" s="26"/>
      <c r="F111" s="26"/>
      <c r="G111" s="26"/>
      <c r="H111" s="26"/>
      <c r="I111" s="27"/>
      <c r="J111" s="28"/>
      <c r="K111" s="97"/>
      <c r="L111" s="28"/>
      <c r="M111" s="26"/>
      <c r="N111" s="26"/>
      <c r="O111" s="26"/>
      <c r="P111" s="26"/>
      <c r="Q111" s="26"/>
      <c r="R111" s="26"/>
      <c r="S111" s="26"/>
      <c r="U111" s="93"/>
    </row>
    <row r="112" spans="1:21" x14ac:dyDescent="0.25">
      <c r="A112" s="98"/>
      <c r="B112" s="41" t="s">
        <v>59</v>
      </c>
      <c r="C112" s="33"/>
      <c r="D112" s="34">
        <v>280000</v>
      </c>
      <c r="E112" s="35">
        <v>314116.49684210529</v>
      </c>
      <c r="F112" s="36">
        <v>314116.49684210529</v>
      </c>
      <c r="G112" s="37">
        <v>296659</v>
      </c>
      <c r="H112" s="42"/>
      <c r="I112" s="39">
        <f>IFERROR(G112/F112,0)</f>
        <v>0.94442349568516759</v>
      </c>
      <c r="J112" s="33"/>
      <c r="K112" s="235" t="s">
        <v>99</v>
      </c>
      <c r="L112" s="33"/>
      <c r="M112" s="34">
        <f>80000+200000</f>
        <v>280000</v>
      </c>
      <c r="N112" s="35">
        <v>301000</v>
      </c>
      <c r="O112" s="34">
        <f>80000+200000</f>
        <v>280000</v>
      </c>
      <c r="P112" s="35"/>
      <c r="Q112" s="34" t="e">
        <f>+#REF!+#REF!+D112+M112+O112</f>
        <v>#REF!</v>
      </c>
      <c r="R112" s="35" t="e">
        <f>+#REF!+#REF!+E112+N112+O112</f>
        <v>#REF!</v>
      </c>
      <c r="S112" s="37" t="e">
        <v>#VALUE!</v>
      </c>
      <c r="U112" s="93"/>
    </row>
    <row r="113" spans="1:21" x14ac:dyDescent="0.25">
      <c r="A113" s="98"/>
      <c r="B113" s="41" t="s">
        <v>60</v>
      </c>
      <c r="C113" s="33"/>
      <c r="D113" s="34">
        <v>160000</v>
      </c>
      <c r="E113" s="35">
        <v>160000</v>
      </c>
      <c r="F113" s="36">
        <v>160000</v>
      </c>
      <c r="G113" s="37">
        <v>50676.06</v>
      </c>
      <c r="H113" s="42"/>
      <c r="I113" s="39">
        <f>IFERROR(G113/F113,0)</f>
        <v>0.31672537499999998</v>
      </c>
      <c r="J113" s="33"/>
      <c r="K113" s="236"/>
      <c r="L113" s="33"/>
      <c r="M113" s="34">
        <f>(6*20000)+(0.5*80000)</f>
        <v>160000</v>
      </c>
      <c r="N113" s="35">
        <v>160000</v>
      </c>
      <c r="O113" s="34">
        <f>(6*20000)+(0.5*80000)</f>
        <v>160000</v>
      </c>
      <c r="P113" s="35"/>
      <c r="Q113" s="34" t="e">
        <f>+#REF!+#REF!+D113+M113+O113</f>
        <v>#REF!</v>
      </c>
      <c r="R113" s="35" t="e">
        <f>+#REF!+#REF!+E113+N113+O113</f>
        <v>#REF!</v>
      </c>
      <c r="S113" s="37" t="e">
        <v>#VALUE!</v>
      </c>
      <c r="U113" s="93"/>
    </row>
    <row r="114" spans="1:21" s="102" customFormat="1" ht="18.75" x14ac:dyDescent="0.3">
      <c r="A114" s="99"/>
      <c r="B114" s="100" t="s">
        <v>36</v>
      </c>
      <c r="C114" s="101"/>
      <c r="D114" s="53">
        <f t="shared" ref="D114:O114" si="21">SUM(D112:D113)</f>
        <v>440000</v>
      </c>
      <c r="E114" s="54">
        <f t="shared" si="21"/>
        <v>474116.49684210529</v>
      </c>
      <c r="F114" s="55">
        <f t="shared" si="21"/>
        <v>474116.49684210529</v>
      </c>
      <c r="G114" s="56">
        <f t="shared" si="21"/>
        <v>347335.06</v>
      </c>
      <c r="H114" s="50">
        <f>+F114-G114</f>
        <v>126781.43684210529</v>
      </c>
      <c r="I114" s="51">
        <f>IFERROR(G114/F114,0)</f>
        <v>0.73259433559780307</v>
      </c>
      <c r="J114" s="101"/>
      <c r="K114" s="236"/>
      <c r="L114" s="101"/>
      <c r="M114" s="53">
        <f t="shared" si="21"/>
        <v>440000</v>
      </c>
      <c r="N114" s="54">
        <f t="shared" si="21"/>
        <v>461000</v>
      </c>
      <c r="O114" s="53">
        <f t="shared" si="21"/>
        <v>440000</v>
      </c>
      <c r="P114" s="54">
        <f>SUM(P112:P113)</f>
        <v>0</v>
      </c>
      <c r="Q114" s="53" t="e">
        <f>SUM(Q112:Q113)</f>
        <v>#REF!</v>
      </c>
      <c r="R114" s="54" t="e">
        <f>SUM(R112:R113)</f>
        <v>#REF!</v>
      </c>
      <c r="S114" s="56" t="e">
        <f>SUM(S112:S113)</f>
        <v>#VALUE!</v>
      </c>
      <c r="T114" s="57" t="e">
        <f>+#REF!+#REF!+D114+M114+O114</f>
        <v>#REF!</v>
      </c>
      <c r="U114" s="57"/>
    </row>
    <row r="115" spans="1:21" s="87" customFormat="1" ht="18.75" x14ac:dyDescent="0.3">
      <c r="A115" s="85"/>
      <c r="B115" s="85"/>
      <c r="C115" s="68"/>
      <c r="D115" s="69"/>
      <c r="E115" s="70"/>
      <c r="F115" s="71"/>
      <c r="G115" s="72"/>
      <c r="H115" s="85"/>
      <c r="I115" s="86"/>
      <c r="J115" s="68"/>
      <c r="K115" s="86"/>
      <c r="L115" s="68"/>
      <c r="M115" s="69"/>
      <c r="N115" s="70"/>
      <c r="O115" s="69"/>
      <c r="P115" s="70"/>
      <c r="Q115" s="69"/>
      <c r="R115" s="70"/>
      <c r="S115" s="72"/>
    </row>
    <row r="116" spans="1:21" ht="18.75" x14ac:dyDescent="0.3">
      <c r="A116" s="24" t="s">
        <v>61</v>
      </c>
      <c r="B116" s="103" t="s">
        <v>62</v>
      </c>
      <c r="C116" s="96"/>
      <c r="D116" s="26"/>
      <c r="E116" s="26"/>
      <c r="F116" s="26"/>
      <c r="G116" s="26"/>
      <c r="H116" s="26"/>
      <c r="I116" s="27"/>
      <c r="J116" s="96"/>
      <c r="K116" s="27"/>
      <c r="L116" s="96"/>
      <c r="M116" s="26"/>
      <c r="N116" s="26"/>
      <c r="O116" s="26"/>
      <c r="P116" s="26"/>
      <c r="Q116" s="26"/>
      <c r="R116" s="26"/>
      <c r="S116" s="26"/>
      <c r="U116" s="93"/>
    </row>
    <row r="117" spans="1:21" x14ac:dyDescent="0.25">
      <c r="A117" s="98"/>
      <c r="B117" s="41" t="s">
        <v>62</v>
      </c>
      <c r="C117" s="33"/>
      <c r="D117" s="34"/>
      <c r="E117" s="35">
        <v>0</v>
      </c>
      <c r="F117" s="36">
        <v>0</v>
      </c>
      <c r="G117" s="37">
        <v>0</v>
      </c>
      <c r="H117" s="42"/>
      <c r="I117" s="39">
        <f>IFERROR(G117/F117,0)</f>
        <v>0</v>
      </c>
      <c r="J117" s="33"/>
      <c r="K117" s="237"/>
      <c r="L117" s="33"/>
      <c r="M117" s="34"/>
      <c r="N117" s="35">
        <v>150000</v>
      </c>
      <c r="O117" s="34"/>
      <c r="P117" s="35"/>
      <c r="Q117" s="34" t="e">
        <f>+#REF!+#REF!+D117+M117+O117</f>
        <v>#REF!</v>
      </c>
      <c r="R117" s="35" t="e">
        <f>+#REF!+#REF!+E117+N117+O117</f>
        <v>#REF!</v>
      </c>
      <c r="S117" s="37"/>
      <c r="U117" s="93"/>
    </row>
    <row r="118" spans="1:21" s="102" customFormat="1" ht="30" customHeight="1" x14ac:dyDescent="0.3">
      <c r="A118" s="99"/>
      <c r="B118" s="100"/>
      <c r="C118" s="101"/>
      <c r="D118" s="53"/>
      <c r="E118" s="54">
        <f>+E117</f>
        <v>0</v>
      </c>
      <c r="F118" s="55">
        <f>+F117</f>
        <v>0</v>
      </c>
      <c r="G118" s="56">
        <f>+G117</f>
        <v>0</v>
      </c>
      <c r="H118" s="50">
        <f>+E118-G118</f>
        <v>0</v>
      </c>
      <c r="I118" s="51">
        <v>0</v>
      </c>
      <c r="J118" s="101"/>
      <c r="K118" s="238"/>
      <c r="L118" s="101"/>
      <c r="M118" s="53"/>
      <c r="N118" s="54">
        <f>N117</f>
        <v>150000</v>
      </c>
      <c r="O118" s="53"/>
      <c r="P118" s="54"/>
      <c r="Q118" s="46" t="e">
        <f>+#REF!+#REF!+D118+M118+O118</f>
        <v>#REF!</v>
      </c>
      <c r="R118" s="54" t="e">
        <f>+#REF!+#REF!+E118+N118+O118</f>
        <v>#REF!</v>
      </c>
      <c r="S118" s="56"/>
      <c r="T118" s="57"/>
      <c r="U118" s="57"/>
    </row>
    <row r="119" spans="1:21" s="87" customFormat="1" ht="18.75" x14ac:dyDescent="0.3">
      <c r="A119" s="85"/>
      <c r="B119" s="85"/>
      <c r="C119" s="68"/>
      <c r="D119" s="69"/>
      <c r="E119" s="70"/>
      <c r="F119" s="71"/>
      <c r="G119" s="72"/>
      <c r="H119" s="85"/>
      <c r="I119" s="86"/>
      <c r="J119" s="68"/>
      <c r="K119" s="104"/>
      <c r="L119" s="68"/>
      <c r="M119" s="69"/>
      <c r="N119" s="70"/>
      <c r="O119" s="69"/>
      <c r="P119" s="70"/>
      <c r="Q119" s="69"/>
      <c r="R119" s="70"/>
      <c r="S119" s="72"/>
    </row>
    <row r="120" spans="1:21" s="112" customFormat="1" ht="18.75" x14ac:dyDescent="0.3">
      <c r="A120" s="105" t="s">
        <v>63</v>
      </c>
      <c r="B120" s="106"/>
      <c r="C120" s="107"/>
      <c r="D120" s="108">
        <f>D17+D29+D38+D50+D62+D73+D114</f>
        <v>1969185.3834717704</v>
      </c>
      <c r="E120" s="109">
        <f>E17+E29+E38+E50+E62+E73+E114+E118</f>
        <v>2388122.3166985647</v>
      </c>
      <c r="F120" s="110">
        <f>F17+F29+F38+F50+F62+F73+F114+F118</f>
        <v>2322747.6171878478</v>
      </c>
      <c r="G120" s="111">
        <f>G17+G29+G38+G50+G62+G73+G114+G118</f>
        <v>1902745.62</v>
      </c>
      <c r="H120" s="50">
        <f>+F120-G120</f>
        <v>420001.99718784774</v>
      </c>
      <c r="I120" s="51">
        <f>IFERROR(G120/F120,0)</f>
        <v>0.81917880613463101</v>
      </c>
      <c r="J120" s="107"/>
      <c r="K120" s="104"/>
      <c r="L120" s="107"/>
      <c r="M120" s="108">
        <f>M17+M29+M38+M50+M62+M73+M114</f>
        <v>1969185.3834717704</v>
      </c>
      <c r="N120" s="109">
        <f>N17+N29+N38+N50+N62+N73+N114+N118</f>
        <v>2732219.3533333335</v>
      </c>
      <c r="O120" s="108">
        <f>O17+O29+O38+O50+O62+O73+O114+O85+O109</f>
        <v>1958958.8865737705</v>
      </c>
      <c r="P120" s="109">
        <f>P17+P29+P38+P50+P62+P73+P114+P85+P109</f>
        <v>0</v>
      </c>
      <c r="Q120" s="108" t="e">
        <f>Q17+Q29+Q38+Q50+Q62+Q73+Q114+Q85+Q109</f>
        <v>#REF!</v>
      </c>
      <c r="R120" s="109" t="e">
        <f>R17+R29+R38+R50+R62+R73+R114+R85+R109</f>
        <v>#REF!</v>
      </c>
      <c r="S120" s="111" t="e">
        <f>S17+S29+S38+S50+S62+S73+S114</f>
        <v>#VALUE!</v>
      </c>
      <c r="T120" s="57" t="e">
        <f>+#REF!+#REF!+D120+M120+O120</f>
        <v>#REF!</v>
      </c>
      <c r="U120" s="57"/>
    </row>
    <row r="121" spans="1:21" s="112" customFormat="1" ht="18.75" x14ac:dyDescent="0.3">
      <c r="A121" s="105"/>
      <c r="B121" s="106"/>
      <c r="C121" s="107"/>
      <c r="D121" s="108"/>
      <c r="E121" s="109"/>
      <c r="F121" s="110"/>
      <c r="G121" s="111"/>
      <c r="H121" s="113"/>
      <c r="I121" s="114"/>
      <c r="J121" s="107"/>
      <c r="K121" s="114"/>
      <c r="L121" s="107"/>
      <c r="M121" s="108"/>
      <c r="N121" s="109"/>
      <c r="O121" s="108"/>
      <c r="P121" s="109"/>
      <c r="Q121" s="108"/>
      <c r="R121" s="109"/>
      <c r="S121" s="111"/>
    </row>
    <row r="122" spans="1:21" s="29" customFormat="1" ht="18.75" x14ac:dyDescent="0.3">
      <c r="A122" s="20" t="s">
        <v>64</v>
      </c>
      <c r="B122" s="20" t="s">
        <v>65</v>
      </c>
      <c r="C122" s="22"/>
      <c r="D122" s="20"/>
      <c r="E122" s="20"/>
      <c r="F122" s="20"/>
      <c r="G122" s="20"/>
      <c r="H122" s="20"/>
      <c r="I122" s="21"/>
      <c r="J122" s="22"/>
      <c r="K122" s="21"/>
      <c r="L122" s="22"/>
      <c r="M122" s="20"/>
      <c r="N122" s="20"/>
      <c r="O122" s="20"/>
      <c r="P122" s="20"/>
      <c r="Q122" s="20"/>
      <c r="R122" s="20"/>
      <c r="S122" s="20"/>
    </row>
    <row r="123" spans="1:21" s="116" customFormat="1" x14ac:dyDescent="0.25">
      <c r="A123" s="115"/>
      <c r="B123" s="41" t="s">
        <v>66</v>
      </c>
      <c r="C123" s="33"/>
      <c r="D123" s="34">
        <v>140000</v>
      </c>
      <c r="E123" s="35">
        <v>146000</v>
      </c>
      <c r="F123" s="36">
        <v>146000</v>
      </c>
      <c r="G123" s="37">
        <v>134061.5</v>
      </c>
      <c r="H123" s="42"/>
      <c r="I123" s="39">
        <f>IFERROR(G123/F123,0)</f>
        <v>0.91822945205479456</v>
      </c>
      <c r="J123" s="33"/>
      <c r="K123" s="218" t="s">
        <v>100</v>
      </c>
      <c r="L123" s="33"/>
      <c r="M123" s="34">
        <f>100000+(0.5*80000)</f>
        <v>140000</v>
      </c>
      <c r="N123" s="35">
        <v>135000</v>
      </c>
      <c r="O123" s="34">
        <f>100000+(0.5*80000)</f>
        <v>140000</v>
      </c>
      <c r="P123" s="35"/>
      <c r="Q123" s="34" t="e">
        <f>+#REF!+#REF!+D123+M123+O123</f>
        <v>#REF!</v>
      </c>
      <c r="R123" s="35" t="e">
        <f>+#REF!+#REF!+E123+N123+O123</f>
        <v>#REF!</v>
      </c>
      <c r="S123" s="37"/>
    </row>
    <row r="124" spans="1:21" s="116" customFormat="1" x14ac:dyDescent="0.25">
      <c r="A124" s="115"/>
      <c r="B124" s="41" t="s">
        <v>67</v>
      </c>
      <c r="C124" s="33"/>
      <c r="D124" s="34">
        <v>100000</v>
      </c>
      <c r="E124" s="35">
        <v>100000</v>
      </c>
      <c r="F124" s="36">
        <v>100000</v>
      </c>
      <c r="G124" s="37">
        <v>34007.369999999995</v>
      </c>
      <c r="H124" s="81"/>
      <c r="I124" s="39">
        <f>IFERROR(G124/F124,0)</f>
        <v>0.34007369999999998</v>
      </c>
      <c r="J124" s="33"/>
      <c r="K124" s="219"/>
      <c r="L124" s="33"/>
      <c r="M124" s="34">
        <v>100000</v>
      </c>
      <c r="N124" s="35">
        <v>100000</v>
      </c>
      <c r="O124" s="34">
        <v>100000</v>
      </c>
      <c r="P124" s="82"/>
      <c r="Q124" s="34" t="e">
        <f>+#REF!+#REF!+D124+M124+O124</f>
        <v>#REF!</v>
      </c>
      <c r="R124" s="82" t="e">
        <f>+#REF!+#REF!+E124+N124+O124</f>
        <v>#REF!</v>
      </c>
      <c r="S124" s="37"/>
    </row>
    <row r="125" spans="1:21" s="43" customFormat="1" ht="18.75" x14ac:dyDescent="0.3">
      <c r="A125" s="40"/>
      <c r="B125" s="117" t="s">
        <v>68</v>
      </c>
      <c r="C125" s="28"/>
      <c r="D125" s="118">
        <f t="shared" ref="D125:O125" si="22">SUM(D123:D124)</f>
        <v>240000</v>
      </c>
      <c r="E125" s="119">
        <f t="shared" si="22"/>
        <v>246000</v>
      </c>
      <c r="F125" s="120">
        <f t="shared" si="22"/>
        <v>246000</v>
      </c>
      <c r="G125" s="56">
        <f>SUM(G123:G124)</f>
        <v>168068.87</v>
      </c>
      <c r="H125" s="50">
        <f>+F125-G125</f>
        <v>77931.13</v>
      </c>
      <c r="I125" s="51">
        <f>IFERROR(G125/F125,0)</f>
        <v>0.6832067886178862</v>
      </c>
      <c r="J125" s="28"/>
      <c r="K125" s="219"/>
      <c r="L125" s="28"/>
      <c r="M125" s="118">
        <f t="shared" si="22"/>
        <v>240000</v>
      </c>
      <c r="N125" s="119">
        <f t="shared" si="22"/>
        <v>235000</v>
      </c>
      <c r="O125" s="118">
        <f t="shared" si="22"/>
        <v>240000</v>
      </c>
      <c r="P125" s="119">
        <f>SUM(P123:P124)</f>
        <v>0</v>
      </c>
      <c r="Q125" s="118" t="e">
        <f>SUM(Q123:Q124)</f>
        <v>#REF!</v>
      </c>
      <c r="R125" s="119" t="e">
        <f>SUM(R123:R124)</f>
        <v>#REF!</v>
      </c>
      <c r="S125" s="49" t="e">
        <v>#VALUE!</v>
      </c>
      <c r="U125" s="57"/>
    </row>
    <row r="126" spans="1:21" s="128" customFormat="1" ht="18.75" customHeight="1" x14ac:dyDescent="0.25">
      <c r="A126" s="121"/>
      <c r="B126" s="121"/>
      <c r="C126" s="122"/>
      <c r="D126" s="123"/>
      <c r="E126" s="124"/>
      <c r="F126" s="125"/>
      <c r="G126" s="126"/>
      <c r="H126" s="121"/>
      <c r="I126" s="127"/>
      <c r="J126" s="122"/>
      <c r="K126" s="219"/>
      <c r="L126" s="122"/>
      <c r="M126" s="123"/>
      <c r="N126" s="124"/>
      <c r="O126" s="123"/>
      <c r="P126" s="124"/>
      <c r="Q126" s="123"/>
      <c r="R126" s="124"/>
      <c r="S126" s="126"/>
    </row>
    <row r="127" spans="1:21" x14ac:dyDescent="0.25">
      <c r="A127" s="30"/>
      <c r="B127" s="129" t="s">
        <v>69</v>
      </c>
      <c r="D127" s="130"/>
      <c r="E127" s="35">
        <v>65000</v>
      </c>
      <c r="F127" s="36">
        <v>65000</v>
      </c>
      <c r="G127" s="37">
        <v>58047.5</v>
      </c>
      <c r="H127" s="131"/>
      <c r="I127" s="39">
        <f>IFERROR(G127/F127,0)</f>
        <v>0.89303846153846156</v>
      </c>
      <c r="K127" s="219"/>
      <c r="M127" s="130"/>
      <c r="N127" s="35">
        <v>60000</v>
      </c>
      <c r="O127" s="130"/>
      <c r="P127" s="132"/>
      <c r="Q127" s="34"/>
      <c r="R127" s="132"/>
      <c r="S127" s="133"/>
    </row>
    <row r="128" spans="1:21" x14ac:dyDescent="0.25">
      <c r="A128" s="30"/>
      <c r="B128" s="129" t="s">
        <v>70</v>
      </c>
      <c r="D128" s="130"/>
      <c r="E128" s="35">
        <v>100000</v>
      </c>
      <c r="F128" s="36">
        <v>100000</v>
      </c>
      <c r="G128" s="37">
        <v>10770.25</v>
      </c>
      <c r="H128" s="134"/>
      <c r="I128" s="39">
        <f>IFERROR(G128/F128,0)</f>
        <v>0.10770250000000001</v>
      </c>
      <c r="K128" s="219"/>
      <c r="M128" s="130"/>
      <c r="N128" s="35">
        <v>100000</v>
      </c>
      <c r="O128" s="130"/>
      <c r="P128" s="119"/>
      <c r="Q128" s="34"/>
      <c r="R128" s="119"/>
      <c r="S128" s="133"/>
    </row>
    <row r="129" spans="1:21" ht="18.75" x14ac:dyDescent="0.3">
      <c r="A129" s="30"/>
      <c r="B129" s="135" t="s">
        <v>71</v>
      </c>
      <c r="C129" s="28"/>
      <c r="D129" s="118">
        <v>160000</v>
      </c>
      <c r="E129" s="119">
        <f>SUM(E127:E128)</f>
        <v>165000</v>
      </c>
      <c r="F129" s="120">
        <f>SUM(F127:F128)</f>
        <v>165000</v>
      </c>
      <c r="G129" s="56">
        <f>SUM(G127:G128)</f>
        <v>68817.75</v>
      </c>
      <c r="H129" s="50">
        <f>+F129-G129</f>
        <v>96182.25</v>
      </c>
      <c r="I129" s="51">
        <f>IFERROR(G129/F129,0)</f>
        <v>0.41707727272727274</v>
      </c>
      <c r="J129" s="28"/>
      <c r="K129" s="219"/>
      <c r="L129" s="28"/>
      <c r="M129" s="118">
        <v>160000</v>
      </c>
      <c r="N129" s="119">
        <f>SUM(N127:N128)</f>
        <v>160000</v>
      </c>
      <c r="O129" s="118">
        <v>150000</v>
      </c>
      <c r="P129" s="119">
        <f>SUM(P127:P128)</f>
        <v>0</v>
      </c>
      <c r="Q129" s="46" t="e">
        <f>+#REF!+#REF!+D129+M129+O129</f>
        <v>#REF!</v>
      </c>
      <c r="R129" s="119" t="e">
        <f>+#REF!+#REF!+E129+N129+O129</f>
        <v>#REF!</v>
      </c>
      <c r="S129" s="49" t="e">
        <v>#VALUE!</v>
      </c>
      <c r="U129" s="57"/>
    </row>
    <row r="130" spans="1:21" ht="18.75" customHeight="1" x14ac:dyDescent="0.25">
      <c r="A130" s="136"/>
      <c r="B130" s="136"/>
      <c r="C130" s="137"/>
      <c r="D130" s="138"/>
      <c r="E130" s="139"/>
      <c r="F130" s="140"/>
      <c r="G130" s="141"/>
      <c r="H130" s="136"/>
      <c r="I130" s="142"/>
      <c r="J130" s="137"/>
      <c r="K130" s="219"/>
      <c r="L130" s="137"/>
      <c r="M130" s="138"/>
      <c r="N130" s="139"/>
      <c r="O130" s="138"/>
      <c r="P130" s="139"/>
      <c r="Q130" s="138"/>
      <c r="R130" s="139"/>
      <c r="S130" s="141"/>
    </row>
    <row r="131" spans="1:21" s="112" customFormat="1" ht="18.75" x14ac:dyDescent="0.3">
      <c r="A131" s="105" t="s">
        <v>72</v>
      </c>
      <c r="B131" s="106"/>
      <c r="C131" s="107"/>
      <c r="D131" s="143">
        <f t="shared" ref="D131:P131" si="23">D125+D129</f>
        <v>400000</v>
      </c>
      <c r="E131" s="144">
        <f t="shared" si="23"/>
        <v>411000</v>
      </c>
      <c r="F131" s="145">
        <f t="shared" si="23"/>
        <v>411000</v>
      </c>
      <c r="G131" s="146">
        <f t="shared" si="23"/>
        <v>236886.62</v>
      </c>
      <c r="H131" s="50">
        <f>+F131-G131</f>
        <v>174113.38</v>
      </c>
      <c r="I131" s="51">
        <f>IFERROR(G131/F131,0)</f>
        <v>0.57636647201946467</v>
      </c>
      <c r="J131" s="107"/>
      <c r="K131" s="220"/>
      <c r="L131" s="107"/>
      <c r="M131" s="143">
        <f t="shared" si="23"/>
        <v>400000</v>
      </c>
      <c r="N131" s="144">
        <f>N125+N129</f>
        <v>395000</v>
      </c>
      <c r="O131" s="143">
        <f t="shared" si="23"/>
        <v>390000</v>
      </c>
      <c r="P131" s="144">
        <f t="shared" si="23"/>
        <v>0</v>
      </c>
      <c r="Q131" s="143" t="e">
        <f>Q125+Q129</f>
        <v>#REF!</v>
      </c>
      <c r="R131" s="144" t="e">
        <f>R125+R129</f>
        <v>#REF!</v>
      </c>
      <c r="S131" s="146" t="e">
        <f>S125+S129</f>
        <v>#VALUE!</v>
      </c>
      <c r="T131" s="57" t="e">
        <f>+#REF!+#REF!+D131+M131+O131</f>
        <v>#REF!</v>
      </c>
      <c r="U131" s="57"/>
    </row>
    <row r="132" spans="1:21" s="112" customFormat="1" ht="18.75" x14ac:dyDescent="0.3">
      <c r="A132" s="105"/>
      <c r="B132" s="106"/>
      <c r="C132" s="107"/>
      <c r="D132" s="143"/>
      <c r="E132" s="144"/>
      <c r="F132" s="145"/>
      <c r="G132" s="146"/>
      <c r="H132" s="106"/>
      <c r="I132" s="147"/>
      <c r="J132" s="107"/>
      <c r="K132" s="147"/>
      <c r="L132" s="107"/>
      <c r="M132" s="143"/>
      <c r="N132" s="144"/>
      <c r="O132" s="143"/>
      <c r="P132" s="144"/>
      <c r="Q132" s="143"/>
      <c r="R132" s="144"/>
      <c r="S132" s="146"/>
    </row>
    <row r="133" spans="1:21" s="19" customFormat="1" ht="20.25" x14ac:dyDescent="0.3">
      <c r="A133" s="16" t="s">
        <v>73</v>
      </c>
      <c r="B133" s="16" t="s">
        <v>74</v>
      </c>
      <c r="C133" s="18"/>
      <c r="D133" s="16"/>
      <c r="E133" s="16"/>
      <c r="F133" s="16"/>
      <c r="G133" s="16"/>
      <c r="H133" s="16"/>
      <c r="I133" s="148"/>
      <c r="J133" s="18"/>
      <c r="K133" s="148"/>
      <c r="L133" s="18"/>
      <c r="M133" s="16"/>
      <c r="N133" s="16"/>
      <c r="O133" s="16"/>
      <c r="P133" s="16"/>
      <c r="Q133" s="16"/>
      <c r="R133" s="16"/>
      <c r="S133" s="16"/>
      <c r="U133" s="149"/>
    </row>
    <row r="134" spans="1:21" s="29" customFormat="1" ht="18.75" x14ac:dyDescent="0.3">
      <c r="A134" s="20" t="s">
        <v>75</v>
      </c>
      <c r="B134" s="20" t="s">
        <v>76</v>
      </c>
      <c r="C134" s="22"/>
      <c r="D134" s="20"/>
      <c r="E134" s="20"/>
      <c r="F134" s="20"/>
      <c r="G134" s="20"/>
      <c r="H134" s="20"/>
      <c r="I134" s="21"/>
      <c r="J134" s="22"/>
      <c r="K134" s="21"/>
      <c r="L134" s="22"/>
      <c r="M134" s="20"/>
      <c r="N134" s="20"/>
      <c r="O134" s="20"/>
      <c r="P134" s="20"/>
      <c r="Q134" s="20"/>
      <c r="R134" s="20"/>
      <c r="S134" s="20"/>
    </row>
    <row r="135" spans="1:21" s="43" customFormat="1" x14ac:dyDescent="0.25">
      <c r="A135" s="40"/>
      <c r="B135" s="31" t="s">
        <v>77</v>
      </c>
      <c r="C135" s="33"/>
      <c r="D135" s="34">
        <v>80000</v>
      </c>
      <c r="E135" s="35">
        <v>133000</v>
      </c>
      <c r="F135" s="36">
        <v>133000</v>
      </c>
      <c r="G135" s="37">
        <v>136701</v>
      </c>
      <c r="H135" s="38"/>
      <c r="I135" s="39">
        <f>IFERROR(G135/F135,0)</f>
        <v>1.027827067669173</v>
      </c>
      <c r="J135" s="33"/>
      <c r="K135" s="218" t="s">
        <v>101</v>
      </c>
      <c r="L135" s="33"/>
      <c r="M135" s="34">
        <v>80000</v>
      </c>
      <c r="N135" s="35">
        <v>80000</v>
      </c>
      <c r="O135" s="34">
        <v>80000</v>
      </c>
      <c r="P135" s="35"/>
      <c r="Q135" s="34" t="e">
        <f>+#REF!+#REF!+D135+M135+O135</f>
        <v>#REF!</v>
      </c>
      <c r="R135" s="35" t="e">
        <f>+#REF!+#REF!+E135+N135+O135</f>
        <v>#REF!</v>
      </c>
      <c r="S135" s="37"/>
    </row>
    <row r="136" spans="1:21" s="128" customFormat="1" x14ac:dyDescent="0.25">
      <c r="A136" s="150"/>
      <c r="B136" s="31" t="s">
        <v>78</v>
      </c>
      <c r="C136" s="33"/>
      <c r="D136" s="34">
        <v>70000</v>
      </c>
      <c r="E136" s="35">
        <v>70000</v>
      </c>
      <c r="F136" s="36">
        <v>70000</v>
      </c>
      <c r="G136" s="37">
        <v>89852.45</v>
      </c>
      <c r="H136" s="38"/>
      <c r="I136" s="39">
        <f>IFERROR(G136/F136,0)</f>
        <v>1.2836064285714286</v>
      </c>
      <c r="J136" s="33"/>
      <c r="K136" s="219"/>
      <c r="L136" s="33"/>
      <c r="M136" s="34">
        <v>70000</v>
      </c>
      <c r="N136" s="35">
        <v>70000</v>
      </c>
      <c r="O136" s="34">
        <v>70000</v>
      </c>
      <c r="P136" s="35"/>
      <c r="Q136" s="34" t="e">
        <f>+#REF!+#REF!+D136+M136+O136</f>
        <v>#REF!</v>
      </c>
      <c r="R136" s="35" t="e">
        <f>+#REF!+#REF!+E136+N136+O136</f>
        <v>#REF!</v>
      </c>
      <c r="S136" s="37"/>
    </row>
    <row r="137" spans="1:21" ht="18.75" x14ac:dyDescent="0.3">
      <c r="A137" s="30"/>
      <c r="B137" s="151" t="s">
        <v>36</v>
      </c>
      <c r="C137" s="152"/>
      <c r="D137" s="108">
        <f t="shared" ref="D137:O137" si="24">SUM(D135:D136)</f>
        <v>150000</v>
      </c>
      <c r="E137" s="109">
        <f t="shared" si="24"/>
        <v>203000</v>
      </c>
      <c r="F137" s="110">
        <f t="shared" si="24"/>
        <v>203000</v>
      </c>
      <c r="G137" s="56">
        <f>SUM(G135:G136)</f>
        <v>226553.45</v>
      </c>
      <c r="H137" s="50">
        <f>+F137-G137</f>
        <v>-23553.450000000012</v>
      </c>
      <c r="I137" s="51">
        <f>IFERROR(G137/F137,0)</f>
        <v>1.1160268472906405</v>
      </c>
      <c r="J137" s="152"/>
      <c r="K137" s="220"/>
      <c r="L137" s="152"/>
      <c r="M137" s="108">
        <f t="shared" si="24"/>
        <v>150000</v>
      </c>
      <c r="N137" s="109">
        <f t="shared" si="24"/>
        <v>150000</v>
      </c>
      <c r="O137" s="108">
        <f t="shared" si="24"/>
        <v>150000</v>
      </c>
      <c r="P137" s="109">
        <f>SUM(P135:P136)</f>
        <v>0</v>
      </c>
      <c r="Q137" s="108" t="e">
        <f>SUM(Q135:Q136)</f>
        <v>#REF!</v>
      </c>
      <c r="R137" s="109" t="e">
        <f>SUM(R135:R136)</f>
        <v>#REF!</v>
      </c>
      <c r="S137" s="49" t="e">
        <v>#VALUE!</v>
      </c>
      <c r="T137" s="57" t="e">
        <f>+#REF!+#REF!+D137+M137+O137</f>
        <v>#REF!</v>
      </c>
    </row>
    <row r="138" spans="1:21" ht="18.75" customHeight="1" x14ac:dyDescent="0.25">
      <c r="A138" s="136"/>
      <c r="B138" s="136"/>
      <c r="C138" s="137"/>
      <c r="D138" s="138"/>
      <c r="E138" s="139"/>
      <c r="F138" s="140"/>
      <c r="G138" s="141"/>
      <c r="H138" s="136"/>
      <c r="I138" s="142"/>
      <c r="J138" s="137"/>
      <c r="K138" s="142"/>
      <c r="L138" s="137"/>
      <c r="M138" s="138"/>
      <c r="N138" s="139"/>
      <c r="O138" s="138"/>
      <c r="P138" s="139"/>
      <c r="Q138" s="138"/>
      <c r="R138" s="139"/>
      <c r="S138" s="141"/>
    </row>
    <row r="139" spans="1:21" s="29" customFormat="1" ht="18.75" x14ac:dyDescent="0.3">
      <c r="A139" s="20" t="s">
        <v>79</v>
      </c>
      <c r="B139" s="20" t="s">
        <v>80</v>
      </c>
      <c r="C139" s="22"/>
      <c r="D139" s="20"/>
      <c r="E139" s="20"/>
      <c r="F139" s="20"/>
      <c r="G139" s="20"/>
      <c r="H139" s="20"/>
      <c r="I139" s="21"/>
      <c r="J139" s="22"/>
      <c r="K139" s="21"/>
      <c r="L139" s="22"/>
      <c r="M139" s="20"/>
      <c r="N139" s="20"/>
      <c r="O139" s="20"/>
      <c r="P139" s="20"/>
      <c r="Q139" s="20"/>
      <c r="R139" s="20"/>
      <c r="S139" s="20"/>
    </row>
    <row r="140" spans="1:21" s="43" customFormat="1" x14ac:dyDescent="0.25">
      <c r="A140" s="40"/>
      <c r="B140" s="153" t="s">
        <v>81</v>
      </c>
      <c r="C140" s="9"/>
      <c r="D140" s="34">
        <v>40000</v>
      </c>
      <c r="E140" s="35">
        <v>50000</v>
      </c>
      <c r="F140" s="36">
        <v>50000</v>
      </c>
      <c r="G140" s="37">
        <v>37626.550000000003</v>
      </c>
      <c r="H140" s="154"/>
      <c r="I140" s="39">
        <f>IFERROR(G140/F140,0)</f>
        <v>0.75253100000000006</v>
      </c>
      <c r="J140" s="9"/>
      <c r="K140" s="218" t="s">
        <v>82</v>
      </c>
      <c r="L140" s="9"/>
      <c r="M140" s="130">
        <v>40000</v>
      </c>
      <c r="N140" s="35">
        <v>50000</v>
      </c>
      <c r="O140" s="130">
        <v>40000</v>
      </c>
      <c r="P140" s="132"/>
      <c r="Q140" s="34" t="e">
        <f>+#REF!+#REF!+D140+M140+O140</f>
        <v>#REF!</v>
      </c>
      <c r="R140" s="132" t="e">
        <f>+#REF!+#REF!+E140+N140+O140</f>
        <v>#REF!</v>
      </c>
      <c r="S140" s="133"/>
    </row>
    <row r="141" spans="1:21" s="128" customFormat="1" x14ac:dyDescent="0.25">
      <c r="A141" s="150"/>
      <c r="B141" s="31" t="s">
        <v>83</v>
      </c>
      <c r="C141" s="155"/>
      <c r="D141" s="34">
        <v>180000</v>
      </c>
      <c r="E141" s="35">
        <v>75000</v>
      </c>
      <c r="F141" s="36">
        <v>75000</v>
      </c>
      <c r="G141" s="37">
        <v>81917</v>
      </c>
      <c r="H141" s="156"/>
      <c r="I141" s="39">
        <f>IFERROR(G141/F141,0)</f>
        <v>1.0922266666666667</v>
      </c>
      <c r="J141" s="155"/>
      <c r="K141" s="219"/>
      <c r="L141" s="155"/>
      <c r="M141" s="34">
        <v>180000</v>
      </c>
      <c r="N141" s="35">
        <v>60000</v>
      </c>
      <c r="O141" s="157"/>
      <c r="P141" s="35">
        <v>60000</v>
      </c>
      <c r="Q141" s="34" t="e">
        <f>+#REF!+#REF!+D141+M141+O141</f>
        <v>#REF!</v>
      </c>
      <c r="R141" s="35" t="e">
        <f>+#REF!+#REF!+E141+N141+O141</f>
        <v>#REF!</v>
      </c>
      <c r="S141" s="158"/>
    </row>
    <row r="142" spans="1:21" s="116" customFormat="1" x14ac:dyDescent="0.25">
      <c r="A142" s="115"/>
      <c r="B142" s="41" t="s">
        <v>84</v>
      </c>
      <c r="C142" s="33"/>
      <c r="D142" s="34">
        <v>100000</v>
      </c>
      <c r="E142" s="35">
        <v>119000</v>
      </c>
      <c r="F142" s="36">
        <v>119000</v>
      </c>
      <c r="G142" s="37">
        <v>122724</v>
      </c>
      <c r="H142" s="42"/>
      <c r="I142" s="39">
        <f>IFERROR(G142/F142,0)</f>
        <v>1.0312941176470589</v>
      </c>
      <c r="J142" s="33"/>
      <c r="K142" s="219"/>
      <c r="L142" s="33"/>
      <c r="M142" s="34">
        <v>100000</v>
      </c>
      <c r="N142" s="35">
        <v>138000</v>
      </c>
      <c r="O142" s="34">
        <v>100000</v>
      </c>
      <c r="P142" s="35"/>
      <c r="Q142" s="34" t="e">
        <f>+#REF!+#REF!+D142+M142+O142</f>
        <v>#REF!</v>
      </c>
      <c r="R142" s="35" t="e">
        <f>+#REF!+#REF!+E142+N142+O142</f>
        <v>#REF!</v>
      </c>
      <c r="S142" s="37"/>
    </row>
    <row r="143" spans="1:21" s="128" customFormat="1" x14ac:dyDescent="0.25">
      <c r="A143" s="150"/>
      <c r="B143" s="31" t="s">
        <v>85</v>
      </c>
      <c r="C143" s="33"/>
      <c r="D143" s="34">
        <v>25000</v>
      </c>
      <c r="E143" s="35">
        <v>25000</v>
      </c>
      <c r="F143" s="36">
        <v>25000</v>
      </c>
      <c r="G143" s="37">
        <v>10069.4</v>
      </c>
      <c r="H143" s="38"/>
      <c r="I143" s="39">
        <f>IFERROR(G143/F143,0)</f>
        <v>0.40277599999999997</v>
      </c>
      <c r="J143" s="33"/>
      <c r="K143" s="219"/>
      <c r="L143" s="33"/>
      <c r="M143" s="34">
        <v>25000</v>
      </c>
      <c r="N143" s="35">
        <v>93000</v>
      </c>
      <c r="O143" s="34">
        <v>25000</v>
      </c>
      <c r="P143" s="35"/>
      <c r="Q143" s="34" t="e">
        <f>+#REF!+#REF!+D143+M143+O143</f>
        <v>#REF!</v>
      </c>
      <c r="R143" s="35" t="e">
        <f>+#REF!+#REF!+E143+N143+O143</f>
        <v>#REF!</v>
      </c>
      <c r="S143" s="37"/>
    </row>
    <row r="144" spans="1:21" s="84" customFormat="1" ht="18.75" x14ac:dyDescent="0.3">
      <c r="A144" s="30"/>
      <c r="B144" s="151" t="s">
        <v>36</v>
      </c>
      <c r="C144" s="152"/>
      <c r="D144" s="108">
        <f t="shared" ref="D144:O144" si="25">SUM(D140:D143)</f>
        <v>345000</v>
      </c>
      <c r="E144" s="109">
        <f t="shared" si="25"/>
        <v>269000</v>
      </c>
      <c r="F144" s="110">
        <f t="shared" si="25"/>
        <v>269000</v>
      </c>
      <c r="G144" s="49">
        <f>SUM(G140:G143)</f>
        <v>252336.94999999998</v>
      </c>
      <c r="H144" s="50">
        <f>+F144-G144</f>
        <v>16663.050000000017</v>
      </c>
      <c r="I144" s="51">
        <f>IFERROR(G144/F144,0)</f>
        <v>0.93805557620817837</v>
      </c>
      <c r="J144" s="152"/>
      <c r="K144" s="220"/>
      <c r="L144" s="152"/>
      <c r="M144" s="108">
        <f t="shared" si="25"/>
        <v>345000</v>
      </c>
      <c r="N144" s="109">
        <f t="shared" si="25"/>
        <v>341000</v>
      </c>
      <c r="O144" s="108">
        <f t="shared" si="25"/>
        <v>165000</v>
      </c>
      <c r="P144" s="109">
        <f>SUM(P140:P143)</f>
        <v>60000</v>
      </c>
      <c r="Q144" s="108" t="e">
        <f>SUM(Q140:Q143)</f>
        <v>#REF!</v>
      </c>
      <c r="R144" s="109" t="e">
        <f>SUM(R140:R143)</f>
        <v>#REF!</v>
      </c>
      <c r="S144" s="49" t="e">
        <v>#VALUE!</v>
      </c>
      <c r="T144" s="57" t="e">
        <f>+#REF!+#REF!+D144+M144+O144</f>
        <v>#REF!</v>
      </c>
    </row>
    <row r="145" spans="1:21" s="84" customFormat="1" ht="18.75" x14ac:dyDescent="0.3">
      <c r="A145" s="30"/>
      <c r="B145" s="151"/>
      <c r="C145" s="152"/>
      <c r="D145" s="108"/>
      <c r="E145" s="109"/>
      <c r="F145" s="110"/>
      <c r="G145" s="111"/>
      <c r="H145" s="50"/>
      <c r="I145" s="159"/>
      <c r="J145" s="152"/>
      <c r="K145" s="159"/>
      <c r="L145" s="152"/>
      <c r="M145" s="108"/>
      <c r="N145" s="109"/>
      <c r="O145" s="108"/>
      <c r="P145" s="109"/>
      <c r="Q145" s="108"/>
      <c r="R145" s="109"/>
      <c r="S145" s="111"/>
    </row>
    <row r="146" spans="1:21" s="29" customFormat="1" ht="18.75" x14ac:dyDescent="0.3">
      <c r="A146" s="20" t="s">
        <v>86</v>
      </c>
      <c r="B146" s="20" t="s">
        <v>87</v>
      </c>
      <c r="C146" s="22"/>
      <c r="D146" s="20"/>
      <c r="E146" s="20"/>
      <c r="F146" s="20"/>
      <c r="G146" s="20"/>
      <c r="H146" s="20"/>
      <c r="I146" s="21"/>
      <c r="J146" s="22"/>
      <c r="K146" s="21"/>
      <c r="L146" s="22"/>
      <c r="M146" s="20"/>
      <c r="N146" s="20"/>
      <c r="O146" s="20"/>
      <c r="P146" s="20"/>
      <c r="Q146" s="20"/>
      <c r="R146" s="20"/>
      <c r="S146" s="20"/>
    </row>
    <row r="147" spans="1:21" s="43" customFormat="1" x14ac:dyDescent="0.25">
      <c r="A147" s="40"/>
      <c r="B147" s="153" t="s">
        <v>88</v>
      </c>
      <c r="C147" s="9"/>
      <c r="D147" s="130">
        <v>0</v>
      </c>
      <c r="E147" s="35">
        <v>25000</v>
      </c>
      <c r="F147" s="36">
        <v>25000</v>
      </c>
      <c r="G147" s="37">
        <v>29293</v>
      </c>
      <c r="H147" s="154"/>
      <c r="I147" s="39">
        <f>IFERROR(G147/F147,0)</f>
        <v>1.1717200000000001</v>
      </c>
      <c r="J147" s="9"/>
      <c r="K147" s="218" t="s">
        <v>89</v>
      </c>
      <c r="L147" s="9"/>
      <c r="M147" s="130">
        <v>0</v>
      </c>
      <c r="N147" s="35">
        <v>21000</v>
      </c>
      <c r="O147" s="130">
        <v>0</v>
      </c>
      <c r="P147" s="132"/>
      <c r="Q147" s="34" t="e">
        <f>+#REF!+#REF!+D147+M147+O147</f>
        <v>#REF!</v>
      </c>
      <c r="R147" s="132" t="e">
        <f>+#REF!+#REF!+E147+N147+O147</f>
        <v>#REF!</v>
      </c>
      <c r="S147" s="133"/>
    </row>
    <row r="148" spans="1:21" s="84" customFormat="1" ht="18.75" x14ac:dyDescent="0.3">
      <c r="A148" s="30"/>
      <c r="B148" s="151" t="s">
        <v>36</v>
      </c>
      <c r="C148" s="152"/>
      <c r="D148" s="108">
        <f>+D147</f>
        <v>0</v>
      </c>
      <c r="E148" s="109">
        <f>+E147</f>
        <v>25000</v>
      </c>
      <c r="F148" s="110">
        <f>+F147</f>
        <v>25000</v>
      </c>
      <c r="G148" s="49">
        <f>SUM(G147)</f>
        <v>29293</v>
      </c>
      <c r="H148" s="50"/>
      <c r="I148" s="51">
        <f>IFERROR(G148/F148,0)</f>
        <v>1.1717200000000001</v>
      </c>
      <c r="J148" s="152"/>
      <c r="K148" s="219"/>
      <c r="L148" s="152"/>
      <c r="M148" s="108">
        <f>+M147</f>
        <v>0</v>
      </c>
      <c r="N148" s="109">
        <f>+N147</f>
        <v>21000</v>
      </c>
      <c r="O148" s="108">
        <f>+O147</f>
        <v>0</v>
      </c>
      <c r="P148" s="109"/>
      <c r="Q148" s="34" t="e">
        <f>+#REF!+#REF!+D148</f>
        <v>#REF!</v>
      </c>
      <c r="R148" s="109" t="e">
        <f>+#REF!+#REF!+E148</f>
        <v>#REF!</v>
      </c>
      <c r="S148" s="49" t="e">
        <v>#VALUE!</v>
      </c>
    </row>
    <row r="149" spans="1:21" s="84" customFormat="1" ht="18.75" customHeight="1" x14ac:dyDescent="0.25">
      <c r="A149" s="136"/>
      <c r="B149" s="136"/>
      <c r="C149" s="137"/>
      <c r="D149" s="138"/>
      <c r="E149" s="139"/>
      <c r="F149" s="140"/>
      <c r="G149" s="141"/>
      <c r="H149" s="136"/>
      <c r="I149" s="142"/>
      <c r="J149" s="137"/>
      <c r="K149" s="219"/>
      <c r="L149" s="137"/>
      <c r="M149" s="138"/>
      <c r="N149" s="139"/>
      <c r="O149" s="138"/>
      <c r="P149" s="139"/>
      <c r="Q149" s="138"/>
      <c r="R149" s="139"/>
      <c r="S149" s="141"/>
    </row>
    <row r="150" spans="1:21" s="23" customFormat="1" ht="18.75" x14ac:dyDescent="0.3">
      <c r="A150" s="160" t="s">
        <v>90</v>
      </c>
      <c r="B150" s="151"/>
      <c r="C150" s="152"/>
      <c r="D150" s="108">
        <f t="shared" ref="D150:P150" si="26">D137+D144+D148</f>
        <v>495000</v>
      </c>
      <c r="E150" s="109">
        <f t="shared" si="26"/>
        <v>497000</v>
      </c>
      <c r="F150" s="110">
        <f t="shared" si="26"/>
        <v>497000</v>
      </c>
      <c r="G150" s="111">
        <f t="shared" si="26"/>
        <v>508183.4</v>
      </c>
      <c r="H150" s="50">
        <f>+F150-G150</f>
        <v>-11183.400000000023</v>
      </c>
      <c r="I150" s="161">
        <f>IFERROR(G150/E150,0)</f>
        <v>1.0225018108651911</v>
      </c>
      <c r="J150" s="152"/>
      <c r="K150" s="220"/>
      <c r="L150" s="152"/>
      <c r="M150" s="108">
        <f t="shared" si="26"/>
        <v>495000</v>
      </c>
      <c r="N150" s="109">
        <f>N137+N144+N148</f>
        <v>512000</v>
      </c>
      <c r="O150" s="108">
        <f t="shared" si="26"/>
        <v>315000</v>
      </c>
      <c r="P150" s="109">
        <f t="shared" si="26"/>
        <v>60000</v>
      </c>
      <c r="Q150" s="108" t="e">
        <f>Q137+Q144+Q148</f>
        <v>#REF!</v>
      </c>
      <c r="R150" s="109" t="e">
        <f>R137+R144+R148</f>
        <v>#REF!</v>
      </c>
      <c r="S150" s="111" t="e">
        <f>S137+S144+S148</f>
        <v>#VALUE!</v>
      </c>
      <c r="T150" s="57" t="e">
        <f>+#REF!+#REF!+D150+M150+O150</f>
        <v>#REF!</v>
      </c>
    </row>
    <row r="151" spans="1:21" s="23" customFormat="1" ht="18.75" x14ac:dyDescent="0.3">
      <c r="A151" s="160"/>
      <c r="B151" s="151"/>
      <c r="C151" s="152"/>
      <c r="D151" s="108"/>
      <c r="E151" s="109"/>
      <c r="F151" s="110"/>
      <c r="G151" s="111"/>
      <c r="H151" s="113"/>
      <c r="I151" s="114"/>
      <c r="J151" s="152"/>
      <c r="K151" s="114"/>
      <c r="L151" s="152"/>
      <c r="M151" s="108"/>
      <c r="N151" s="109"/>
      <c r="O151" s="108"/>
      <c r="P151" s="109"/>
      <c r="Q151" s="108"/>
      <c r="R151" s="109"/>
      <c r="S151" s="111"/>
    </row>
    <row r="152" spans="1:21" s="84" customFormat="1" ht="20.25" x14ac:dyDescent="0.3">
      <c r="A152" s="16" t="s">
        <v>91</v>
      </c>
      <c r="B152" s="16" t="s">
        <v>92</v>
      </c>
      <c r="C152" s="18"/>
      <c r="D152" s="16"/>
      <c r="E152" s="16"/>
      <c r="F152" s="16"/>
      <c r="G152" s="16"/>
      <c r="H152" s="16"/>
      <c r="I152" s="148"/>
      <c r="J152" s="18"/>
      <c r="K152" s="148"/>
      <c r="L152" s="18"/>
      <c r="M152" s="16"/>
      <c r="N152" s="16"/>
      <c r="O152" s="16"/>
      <c r="P152" s="16"/>
      <c r="Q152" s="16"/>
      <c r="R152" s="16"/>
      <c r="S152" s="16"/>
    </row>
    <row r="153" spans="1:21" x14ac:dyDescent="0.25">
      <c r="A153" s="30"/>
      <c r="B153" s="129" t="s">
        <v>93</v>
      </c>
      <c r="D153" s="34">
        <v>340000</v>
      </c>
      <c r="E153" s="35">
        <v>421880.59190925688</v>
      </c>
      <c r="F153" s="36">
        <v>432996.77669383603</v>
      </c>
      <c r="G153" s="37">
        <f>12.78%*G159</f>
        <v>348298.98109200003</v>
      </c>
      <c r="H153" s="131"/>
      <c r="I153" s="39">
        <f>IFERROR(G153/F153,0)</f>
        <v>0.80439162561774857</v>
      </c>
      <c r="K153" s="221" t="s">
        <v>94</v>
      </c>
      <c r="M153" s="130">
        <v>340000</v>
      </c>
      <c r="N153" s="35">
        <v>417493.65529133333</v>
      </c>
      <c r="O153" s="130">
        <v>340000</v>
      </c>
      <c r="P153" s="132"/>
      <c r="Q153" s="34" t="e">
        <f>+#REF!+#REF!+D153+M153+O153</f>
        <v>#REF!</v>
      </c>
      <c r="R153" s="132" t="e">
        <f>+#REF!+#REF!+E153+N153+O153</f>
        <v>#REF!</v>
      </c>
      <c r="S153" s="49" t="e">
        <v>#VALUE!</v>
      </c>
      <c r="U153" s="93"/>
    </row>
    <row r="154" spans="1:21" x14ac:dyDescent="0.25">
      <c r="A154" s="30"/>
      <c r="B154" s="153" t="s">
        <v>95</v>
      </c>
      <c r="D154" s="34"/>
      <c r="E154" s="35">
        <v>0</v>
      </c>
      <c r="F154" s="36">
        <v>475523.49445157684</v>
      </c>
      <c r="G154" s="37">
        <v>57528.5</v>
      </c>
      <c r="H154" s="131"/>
      <c r="I154" s="39">
        <f>IFERROR(G154/F154,0)</f>
        <v>0.12097930106765356</v>
      </c>
      <c r="K154" s="224"/>
      <c r="M154" s="130"/>
      <c r="N154" s="35"/>
      <c r="O154" s="130"/>
      <c r="P154" s="132"/>
      <c r="Q154" s="34"/>
      <c r="R154" s="132"/>
      <c r="S154" s="49"/>
      <c r="U154" s="93"/>
    </row>
    <row r="155" spans="1:21" x14ac:dyDescent="0.25">
      <c r="A155" s="30"/>
      <c r="B155" s="129" t="s">
        <v>96</v>
      </c>
      <c r="D155" s="34">
        <v>20000</v>
      </c>
      <c r="E155" s="35">
        <v>20000</v>
      </c>
      <c r="F155" s="36">
        <v>20000</v>
      </c>
      <c r="G155" s="37">
        <v>20000</v>
      </c>
      <c r="H155" s="131"/>
      <c r="I155" s="39">
        <f>IFERROR(G155/F155,0)</f>
        <v>1</v>
      </c>
      <c r="K155" s="224"/>
      <c r="M155" s="130">
        <v>20000</v>
      </c>
      <c r="N155" s="35">
        <v>20000</v>
      </c>
      <c r="O155" s="130">
        <v>20000</v>
      </c>
      <c r="P155" s="132"/>
      <c r="Q155" s="34" t="e">
        <f>+#REF!+#REF!+D155+M155+O155</f>
        <v>#REF!</v>
      </c>
      <c r="R155" s="132" t="e">
        <f>+#REF!+#REF!+E155+N155+O155</f>
        <v>#REF!</v>
      </c>
      <c r="S155" s="133">
        <f>+S159*12.79%</f>
        <v>0</v>
      </c>
    </row>
    <row r="156" spans="1:21" ht="18.75" x14ac:dyDescent="0.3">
      <c r="A156" s="30"/>
      <c r="B156" s="129"/>
      <c r="D156" s="108">
        <f t="shared" ref="D156:O156" si="27">SUM(D153:D155)</f>
        <v>360000</v>
      </c>
      <c r="E156" s="109">
        <f t="shared" si="27"/>
        <v>441880.59190925688</v>
      </c>
      <c r="F156" s="110">
        <f t="shared" si="27"/>
        <v>928520.27114541293</v>
      </c>
      <c r="G156" s="111">
        <f>SUM(G153:G155)</f>
        <v>425827.48109200003</v>
      </c>
      <c r="H156" s="50">
        <f>+F156-G156</f>
        <v>502692.7900534129</v>
      </c>
      <c r="I156" s="51">
        <f>IFERROR(G156/F156,0)</f>
        <v>0.45860870712785162</v>
      </c>
      <c r="K156" s="225"/>
      <c r="M156" s="108">
        <f t="shared" si="27"/>
        <v>360000</v>
      </c>
      <c r="N156" s="109">
        <f t="shared" si="27"/>
        <v>437493.65529133333</v>
      </c>
      <c r="O156" s="108">
        <f t="shared" si="27"/>
        <v>360000</v>
      </c>
      <c r="P156" s="109">
        <f>SUM(P153:P155)</f>
        <v>0</v>
      </c>
      <c r="Q156" s="108" t="e">
        <f>SUM(Q153:Q155)</f>
        <v>#REF!</v>
      </c>
      <c r="R156" s="109" t="e">
        <f>SUM(R153:R155)</f>
        <v>#REF!</v>
      </c>
      <c r="S156" s="111" t="e">
        <f>SUM(S153:S155)</f>
        <v>#VALUE!</v>
      </c>
      <c r="T156" s="57" t="e">
        <f>+#REF!+#REF!+D156+M156+O156</f>
        <v>#REF!</v>
      </c>
    </row>
    <row r="157" spans="1:21" x14ac:dyDescent="0.25">
      <c r="A157" s="136"/>
      <c r="B157" s="136"/>
      <c r="C157" s="137"/>
      <c r="D157" s="138"/>
      <c r="E157" s="139"/>
      <c r="F157" s="140"/>
      <c r="G157" s="141"/>
      <c r="H157" s="136"/>
      <c r="I157" s="142"/>
      <c r="J157" s="137"/>
      <c r="K157" s="142"/>
      <c r="L157" s="137"/>
      <c r="M157" s="138"/>
      <c r="N157" s="139"/>
      <c r="O157" s="138"/>
      <c r="P157" s="139"/>
      <c r="Q157" s="138"/>
      <c r="R157" s="139"/>
      <c r="S157" s="141"/>
    </row>
    <row r="158" spans="1:21" s="102" customFormat="1" ht="18.75" x14ac:dyDescent="0.3">
      <c r="A158" s="242" t="s">
        <v>97</v>
      </c>
      <c r="B158" s="242"/>
      <c r="C158" s="152"/>
      <c r="D158" s="108">
        <f t="shared" ref="D158:R158" si="28">D120+D131+D150+D156</f>
        <v>3224185.3834717702</v>
      </c>
      <c r="E158" s="109">
        <f t="shared" si="28"/>
        <v>3738002.9086078214</v>
      </c>
      <c r="F158" s="110">
        <f t="shared" si="28"/>
        <v>4159267.888333261</v>
      </c>
      <c r="G158" s="111">
        <f>G120+G131+G150+G156</f>
        <v>3073643.121092</v>
      </c>
      <c r="H158" s="50">
        <f>+F158-G158</f>
        <v>1085624.767241261</v>
      </c>
      <c r="I158" s="51">
        <f>IFERROR(G158/F158,0)</f>
        <v>0.73898657254406808</v>
      </c>
      <c r="J158" s="152"/>
      <c r="K158" s="161"/>
      <c r="L158" s="152"/>
      <c r="M158" s="108">
        <f t="shared" si="28"/>
        <v>3224185.3834717702</v>
      </c>
      <c r="N158" s="109">
        <f t="shared" si="28"/>
        <v>4076713.0086246668</v>
      </c>
      <c r="O158" s="108">
        <f t="shared" si="28"/>
        <v>3023958.8865737705</v>
      </c>
      <c r="P158" s="109">
        <f t="shared" si="28"/>
        <v>60000</v>
      </c>
      <c r="Q158" s="108" t="e">
        <f t="shared" si="28"/>
        <v>#REF!</v>
      </c>
      <c r="R158" s="109" t="e">
        <f t="shared" si="28"/>
        <v>#REF!</v>
      </c>
      <c r="S158" s="111" t="e">
        <f>S120+S131+S150+S156</f>
        <v>#VALUE!</v>
      </c>
      <c r="T158" s="57" t="e">
        <f>+#REF!+#REF!+D158+M158+O158</f>
        <v>#REF!</v>
      </c>
    </row>
    <row r="159" spans="1:21" s="87" customFormat="1" ht="18.75" x14ac:dyDescent="0.3">
      <c r="A159" s="162"/>
      <c r="B159" s="163"/>
      <c r="C159" s="164"/>
      <c r="D159" s="163"/>
      <c r="E159" s="163"/>
      <c r="F159" s="163"/>
      <c r="G159" s="163">
        <f>+G120+G131+G150+G155+G154</f>
        <v>2725344.14</v>
      </c>
      <c r="H159" s="163"/>
      <c r="I159" s="165"/>
      <c r="J159" s="164"/>
      <c r="K159" s="165"/>
      <c r="L159" s="164"/>
      <c r="M159" s="163"/>
      <c r="N159" s="163"/>
      <c r="O159" s="163"/>
      <c r="P159" s="163"/>
      <c r="Q159" s="163" t="e">
        <f>+#REF!+#REF!+D158</f>
        <v>#REF!</v>
      </c>
      <c r="R159" s="163" t="e">
        <f>+#REF!+#REF!+E158</f>
        <v>#REF!</v>
      </c>
      <c r="S159" s="163"/>
    </row>
    <row r="160" spans="1:21" x14ac:dyDescent="0.25">
      <c r="E160" s="93"/>
      <c r="F160" s="93"/>
      <c r="N160" s="93"/>
      <c r="P160" s="93"/>
      <c r="Q160" s="168" t="e">
        <f>+Q158-Q159</f>
        <v>#REF!</v>
      </c>
      <c r="R160" s="93" t="e">
        <f>+R158-R159</f>
        <v>#REF!</v>
      </c>
    </row>
    <row r="161" spans="1:19" s="11" customFormat="1" x14ac:dyDescent="0.25">
      <c r="A161" s="6"/>
      <c r="C161" s="9"/>
      <c r="I161" s="12"/>
      <c r="J161" s="9"/>
      <c r="K161" s="12"/>
      <c r="L161" s="9"/>
      <c r="Q161" s="169"/>
    </row>
    <row r="162" spans="1:19" s="11" customFormat="1" x14ac:dyDescent="0.25">
      <c r="A162" s="6"/>
      <c r="C162" s="9"/>
      <c r="H162" s="10"/>
      <c r="I162" s="12"/>
      <c r="J162" s="9"/>
      <c r="K162" s="12"/>
      <c r="L162" s="9"/>
      <c r="M162" s="11" t="b">
        <v>1</v>
      </c>
      <c r="N162" s="11" t="b">
        <v>1</v>
      </c>
      <c r="O162" s="11" t="b">
        <v>1</v>
      </c>
      <c r="Q162" s="11" t="e">
        <v>#REF!</v>
      </c>
      <c r="R162" s="11" t="e">
        <v>#REF!</v>
      </c>
    </row>
    <row r="163" spans="1:19" s="11" customFormat="1" ht="18.75" x14ac:dyDescent="0.3">
      <c r="A163" s="6"/>
      <c r="C163" s="152"/>
      <c r="D163" s="170"/>
      <c r="E163" s="171"/>
      <c r="F163" s="171"/>
      <c r="H163" s="171"/>
      <c r="I163" s="172"/>
      <c r="J163" s="152"/>
      <c r="K163" s="172"/>
      <c r="L163" s="152"/>
      <c r="M163" s="170"/>
      <c r="N163" s="171"/>
      <c r="O163" s="170"/>
      <c r="P163" s="171"/>
      <c r="Q163" s="170"/>
      <c r="R163" s="171"/>
      <c r="S163" s="170"/>
    </row>
    <row r="164" spans="1:19" s="11" customFormat="1" ht="18.75" x14ac:dyDescent="0.3">
      <c r="A164" s="6"/>
      <c r="C164" s="9"/>
      <c r="D164" s="170"/>
      <c r="E164" s="171"/>
      <c r="F164" s="171"/>
      <c r="H164" s="171"/>
      <c r="I164" s="172"/>
      <c r="J164" s="9"/>
      <c r="K164" s="12"/>
      <c r="L164" s="9"/>
    </row>
    <row r="165" spans="1:19" s="11" customFormat="1" ht="18.75" x14ac:dyDescent="0.3">
      <c r="A165" s="6"/>
      <c r="C165" s="9"/>
      <c r="D165" s="170"/>
      <c r="E165" s="171"/>
      <c r="F165" s="171"/>
      <c r="H165" s="171"/>
      <c r="I165" s="172"/>
      <c r="J165" s="9"/>
      <c r="K165" s="12"/>
      <c r="L165" s="9"/>
      <c r="N165" s="10">
        <f>+M158-N158</f>
        <v>-852527.62515289662</v>
      </c>
    </row>
    <row r="166" spans="1:19" s="11" customFormat="1" ht="18.75" x14ac:dyDescent="0.3">
      <c r="A166" s="6"/>
      <c r="C166" s="9"/>
      <c r="D166" s="170"/>
      <c r="E166" s="171"/>
      <c r="F166" s="171"/>
      <c r="G166" s="170"/>
      <c r="H166" s="171"/>
      <c r="I166" s="172"/>
      <c r="J166" s="9"/>
      <c r="K166" s="12"/>
      <c r="L166" s="9"/>
      <c r="N166" s="10" t="e">
        <f>+#REF!+#REF!+H158</f>
        <v>#REF!</v>
      </c>
    </row>
    <row r="167" spans="1:19" s="11" customFormat="1" ht="18.75" x14ac:dyDescent="0.3">
      <c r="A167" s="6"/>
      <c r="C167" s="9"/>
      <c r="D167" s="170"/>
      <c r="E167" s="171"/>
      <c r="F167" s="171"/>
      <c r="G167" s="170"/>
      <c r="H167" s="171"/>
      <c r="I167" s="172"/>
      <c r="J167" s="9"/>
      <c r="K167" s="12"/>
      <c r="L167" s="9"/>
      <c r="N167" s="10" t="e">
        <f>+N166+N165</f>
        <v>#REF!</v>
      </c>
    </row>
    <row r="168" spans="1:19" s="11" customFormat="1" ht="18.75" x14ac:dyDescent="0.3">
      <c r="A168" s="6"/>
      <c r="C168" s="9"/>
      <c r="D168" s="170"/>
      <c r="E168" s="171"/>
      <c r="F168" s="171"/>
      <c r="G168" s="170"/>
      <c r="H168" s="171"/>
      <c r="I168" s="172"/>
      <c r="J168" s="9"/>
      <c r="K168" s="173"/>
      <c r="L168" s="9"/>
      <c r="N168" s="174"/>
      <c r="P168" s="174"/>
      <c r="R168" s="174"/>
    </row>
    <row r="169" spans="1:19" s="11" customFormat="1" x14ac:dyDescent="0.25">
      <c r="A169" s="6"/>
      <c r="C169" s="9"/>
      <c r="D169" s="10"/>
      <c r="G169" s="10"/>
      <c r="I169" s="12"/>
      <c r="J169" s="9"/>
      <c r="K169" s="12"/>
      <c r="L169" s="9"/>
      <c r="M169" s="10"/>
      <c r="O169" s="10"/>
      <c r="Q169" s="10"/>
      <c r="S169" s="10"/>
    </row>
    <row r="170" spans="1:19" s="11" customFormat="1" x14ac:dyDescent="0.25">
      <c r="A170" s="6"/>
      <c r="C170" s="9"/>
      <c r="D170" s="10"/>
      <c r="G170" s="10"/>
      <c r="I170" s="12"/>
      <c r="J170" s="9"/>
      <c r="K170" s="12"/>
      <c r="L170" s="9"/>
      <c r="M170" s="10"/>
      <c r="O170" s="10"/>
      <c r="Q170" s="10"/>
      <c r="S170" s="10"/>
    </row>
    <row r="171" spans="1:19" s="11" customFormat="1" x14ac:dyDescent="0.25">
      <c r="A171" s="6"/>
      <c r="C171" s="9"/>
      <c r="D171" s="10"/>
      <c r="E171" s="174"/>
      <c r="F171" s="174"/>
      <c r="G171" s="10"/>
      <c r="H171" s="174"/>
      <c r="I171" s="173"/>
      <c r="J171" s="9"/>
      <c r="K171" s="173"/>
      <c r="L171" s="9"/>
      <c r="M171" s="10"/>
      <c r="N171" s="174"/>
      <c r="O171" s="10"/>
      <c r="P171" s="174"/>
      <c r="Q171" s="10"/>
      <c r="R171" s="174"/>
      <c r="S171" s="10"/>
    </row>
    <row r="172" spans="1:19" s="11" customFormat="1" x14ac:dyDescent="0.25">
      <c r="A172" s="6"/>
      <c r="C172" s="9"/>
      <c r="D172" s="10"/>
      <c r="G172" s="10"/>
      <c r="I172" s="12"/>
      <c r="J172" s="9"/>
      <c r="K172" s="12"/>
      <c r="L172" s="9"/>
      <c r="M172" s="10"/>
      <c r="O172" s="10"/>
      <c r="Q172" s="10"/>
      <c r="S172" s="10"/>
    </row>
    <row r="173" spans="1:19" s="11" customFormat="1" x14ac:dyDescent="0.25">
      <c r="A173" s="6"/>
      <c r="C173" s="28"/>
      <c r="D173" s="176"/>
      <c r="E173" s="175"/>
      <c r="F173" s="175"/>
      <c r="G173" s="176"/>
      <c r="H173" s="175"/>
      <c r="I173" s="177"/>
      <c r="J173" s="28"/>
      <c r="K173" s="177"/>
      <c r="L173" s="28"/>
      <c r="M173" s="176"/>
      <c r="N173" s="175"/>
      <c r="O173" s="176"/>
      <c r="P173" s="175"/>
      <c r="Q173" s="176"/>
      <c r="R173" s="175"/>
      <c r="S173" s="176"/>
    </row>
    <row r="174" spans="1:19" s="11" customFormat="1" x14ac:dyDescent="0.25">
      <c r="A174" s="6"/>
      <c r="C174" s="9"/>
      <c r="D174" s="10"/>
      <c r="G174" s="10"/>
      <c r="I174" s="12"/>
      <c r="J174" s="9"/>
      <c r="K174" s="12"/>
      <c r="L174" s="9"/>
      <c r="M174" s="10"/>
      <c r="O174" s="10"/>
      <c r="Q174" s="10"/>
      <c r="S174" s="10"/>
    </row>
    <row r="175" spans="1:19" s="11" customFormat="1" x14ac:dyDescent="0.25">
      <c r="A175" s="6"/>
      <c r="C175" s="9"/>
      <c r="D175" s="10"/>
      <c r="G175" s="10"/>
      <c r="I175" s="12"/>
      <c r="J175" s="9"/>
      <c r="K175" s="12"/>
      <c r="L175" s="9"/>
      <c r="M175" s="10"/>
      <c r="O175" s="10"/>
      <c r="Q175" s="10"/>
      <c r="S175" s="10"/>
    </row>
    <row r="176" spans="1:19" s="11" customFormat="1" x14ac:dyDescent="0.25">
      <c r="A176" s="6"/>
      <c r="C176" s="9"/>
      <c r="I176" s="12"/>
      <c r="J176" s="9"/>
      <c r="K176" s="12"/>
      <c r="L176" s="9"/>
    </row>
    <row r="177" spans="1:19" s="11" customFormat="1" x14ac:dyDescent="0.25">
      <c r="A177" s="6"/>
      <c r="C177" s="9"/>
      <c r="I177" s="12"/>
      <c r="J177" s="9"/>
      <c r="K177" s="12"/>
      <c r="L177" s="9"/>
    </row>
    <row r="180" spans="1:19" x14ac:dyDescent="0.25">
      <c r="D180" s="93"/>
      <c r="G180" s="93"/>
      <c r="M180" s="93"/>
      <c r="O180" s="93"/>
      <c r="Q180" s="93"/>
      <c r="S180" s="93"/>
    </row>
  </sheetData>
  <mergeCells count="25">
    <mergeCell ref="K135:K137"/>
    <mergeCell ref="K140:K144"/>
    <mergeCell ref="K147:K150"/>
    <mergeCell ref="K153:K156"/>
    <mergeCell ref="A158:B158"/>
    <mergeCell ref="K123:K131"/>
    <mergeCell ref="K8:K17"/>
    <mergeCell ref="K20:K29"/>
    <mergeCell ref="K32:K38"/>
    <mergeCell ref="K41:K50"/>
    <mergeCell ref="K53:K62"/>
    <mergeCell ref="K76:K85"/>
    <mergeCell ref="K88:K97"/>
    <mergeCell ref="K100:K109"/>
    <mergeCell ref="K112:K114"/>
    <mergeCell ref="K117:K118"/>
    <mergeCell ref="K65:K73"/>
    <mergeCell ref="D4:G4"/>
    <mergeCell ref="M4:N4"/>
    <mergeCell ref="O4:P4"/>
    <mergeCell ref="Q4:S4"/>
    <mergeCell ref="D5:G5"/>
    <mergeCell ref="M5:N5"/>
    <mergeCell ref="O5:P5"/>
    <mergeCell ref="Q5:S5"/>
  </mergeCells>
  <pageMargins left="0.70866141732283472" right="0.70866141732283472" top="0.74803149606299213" bottom="0.74803149606299213" header="0.31496062992125984" footer="0.31496062992125984"/>
  <pageSetup paperSize="8" scale="55" fitToHeight="0" orientation="landscape" r:id="rId1"/>
  <rowBreaks count="2" manualBreakCount="2">
    <brk id="63" max="10" man="1"/>
    <brk id="1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2"/>
  <sheetViews>
    <sheetView showGridLines="0" tabSelected="1" view="pageBreakPreview" zoomScale="70" zoomScaleNormal="70" zoomScaleSheetLayoutView="70" workbookViewId="0">
      <pane xSplit="2" ySplit="4" topLeftCell="V155" activePane="bottomRight" state="frozen"/>
      <selection pane="topRight" activeCell="C1" sqref="C1"/>
      <selection pane="bottomLeft" activeCell="A5" sqref="A5"/>
      <selection pane="bottomRight" activeCell="AD175" sqref="AD175"/>
    </sheetView>
  </sheetViews>
  <sheetFormatPr defaultColWidth="18" defaultRowHeight="18" x14ac:dyDescent="0.25"/>
  <cols>
    <col min="1" max="1" width="18" style="166"/>
    <col min="2" max="2" width="85.7109375" style="8" bestFit="1" customWidth="1"/>
    <col min="3" max="5" width="20" style="8" customWidth="1"/>
    <col min="6" max="6" width="2" customWidth="1"/>
    <col min="7" max="10" width="20" style="8" customWidth="1"/>
    <col min="11" max="11" width="2" customWidth="1"/>
    <col min="12" max="15" width="20" style="8" customWidth="1"/>
    <col min="16" max="16" width="2" customWidth="1"/>
    <col min="17" max="20" width="20" style="8" customWidth="1"/>
    <col min="21" max="21" width="2" customWidth="1"/>
    <col min="22" max="25" width="20" style="8" customWidth="1"/>
    <col min="26" max="26" width="16.140625" style="8" customWidth="1"/>
    <col min="27" max="27" width="1.5703125" customWidth="1"/>
    <col min="28" max="28" width="20" style="8" customWidth="1"/>
    <col min="29" max="29" width="20" style="8" hidden="1" customWidth="1"/>
    <col min="30" max="32" width="20" style="8" customWidth="1"/>
    <col min="33" max="16384" width="18" style="8"/>
  </cols>
  <sheetData>
    <row r="1" spans="1:32" s="2" customFormat="1" ht="26.25" x14ac:dyDescent="0.4">
      <c r="A1" s="1" t="s">
        <v>102</v>
      </c>
      <c r="C1" s="1"/>
      <c r="D1" s="1"/>
      <c r="E1" s="1"/>
      <c r="F1"/>
      <c r="G1" s="1"/>
      <c r="H1" s="3"/>
      <c r="I1" s="1"/>
      <c r="J1" s="3"/>
      <c r="K1"/>
      <c r="L1" s="1"/>
      <c r="M1" s="3"/>
      <c r="N1" s="1"/>
      <c r="O1" s="3"/>
      <c r="P1"/>
      <c r="Q1" s="1"/>
      <c r="R1" s="3"/>
      <c r="S1" s="1"/>
      <c r="T1" s="3"/>
      <c r="U1"/>
      <c r="V1" s="1"/>
      <c r="W1" s="243"/>
      <c r="X1" s="243"/>
      <c r="Y1" s="243"/>
      <c r="Z1" s="243"/>
      <c r="AA1" s="180"/>
      <c r="AB1" s="1"/>
      <c r="AC1" s="181"/>
      <c r="AD1" s="1"/>
      <c r="AE1" s="3"/>
      <c r="AF1" s="3"/>
    </row>
    <row r="2" spans="1:32" x14ac:dyDescent="0.25">
      <c r="A2" s="6"/>
      <c r="B2" s="7"/>
      <c r="C2" s="10"/>
      <c r="D2" s="10"/>
      <c r="E2" s="10"/>
      <c r="G2" s="10"/>
      <c r="H2" s="11"/>
      <c r="I2" s="10"/>
      <c r="J2" s="11"/>
      <c r="L2" s="10"/>
      <c r="M2" s="11"/>
      <c r="N2" s="10"/>
      <c r="O2" s="11"/>
      <c r="Q2" s="10"/>
      <c r="R2" s="11"/>
      <c r="S2" s="10"/>
      <c r="T2" s="11"/>
      <c r="V2" s="10"/>
      <c r="W2" s="11"/>
      <c r="X2" s="11"/>
      <c r="Y2" s="11"/>
      <c r="Z2" s="10"/>
      <c r="AB2" s="10"/>
      <c r="AC2" s="11"/>
      <c r="AD2" s="10"/>
      <c r="AE2" s="11"/>
      <c r="AF2" s="11"/>
    </row>
    <row r="3" spans="1:32" ht="36" x14ac:dyDescent="0.25">
      <c r="A3" s="6"/>
      <c r="B3" s="13"/>
      <c r="C3" s="14" t="s">
        <v>0</v>
      </c>
      <c r="D3" s="14" t="s">
        <v>2</v>
      </c>
      <c r="E3" s="14" t="s">
        <v>103</v>
      </c>
      <c r="G3" s="14" t="s">
        <v>0</v>
      </c>
      <c r="H3" s="14" t="s">
        <v>1</v>
      </c>
      <c r="I3" s="14" t="s">
        <v>2</v>
      </c>
      <c r="J3" s="14" t="s">
        <v>103</v>
      </c>
      <c r="L3" s="14" t="s">
        <v>0</v>
      </c>
      <c r="M3" s="14" t="s">
        <v>1</v>
      </c>
      <c r="N3" s="14" t="s">
        <v>2</v>
      </c>
      <c r="O3" s="14" t="s">
        <v>103</v>
      </c>
      <c r="Q3" s="14" t="s">
        <v>0</v>
      </c>
      <c r="R3" s="14" t="s">
        <v>1</v>
      </c>
      <c r="S3" s="14" t="s">
        <v>2</v>
      </c>
      <c r="T3" s="14" t="s">
        <v>103</v>
      </c>
      <c r="V3" s="14" t="s">
        <v>0</v>
      </c>
      <c r="W3" s="14" t="s">
        <v>1</v>
      </c>
      <c r="X3" s="14" t="s">
        <v>1</v>
      </c>
      <c r="Y3" s="14" t="s">
        <v>2</v>
      </c>
      <c r="Z3" s="14" t="s">
        <v>103</v>
      </c>
      <c r="AB3" s="14" t="s">
        <v>0</v>
      </c>
      <c r="AC3" s="14"/>
      <c r="AD3" s="14" t="s">
        <v>2</v>
      </c>
      <c r="AE3" s="14" t="s">
        <v>103</v>
      </c>
      <c r="AF3" s="14"/>
    </row>
    <row r="4" spans="1:32" s="19" customFormat="1" ht="20.25" x14ac:dyDescent="0.3">
      <c r="A4" s="16"/>
      <c r="B4" s="16"/>
      <c r="C4" s="244">
        <v>2016</v>
      </c>
      <c r="D4" s="244"/>
      <c r="E4" s="244"/>
      <c r="F4"/>
      <c r="G4" s="244">
        <v>2017</v>
      </c>
      <c r="H4" s="244"/>
      <c r="I4" s="244"/>
      <c r="J4" s="244"/>
      <c r="K4"/>
      <c r="L4" s="213">
        <v>2018</v>
      </c>
      <c r="M4" s="214"/>
      <c r="N4" s="214"/>
      <c r="O4" s="214"/>
      <c r="P4"/>
      <c r="Q4" s="216">
        <v>2019</v>
      </c>
      <c r="R4" s="217"/>
      <c r="S4" s="217"/>
      <c r="T4" s="217"/>
      <c r="U4"/>
      <c r="V4" s="216">
        <v>2020</v>
      </c>
      <c r="W4" s="217"/>
      <c r="X4" s="217"/>
      <c r="Y4" s="217"/>
      <c r="Z4" s="217"/>
      <c r="AA4"/>
      <c r="AB4" s="216" t="s">
        <v>4</v>
      </c>
      <c r="AC4" s="217"/>
      <c r="AD4" s="217"/>
      <c r="AE4" s="217"/>
      <c r="AF4" s="217"/>
    </row>
    <row r="5" spans="1:32" s="19" customFormat="1" ht="20.25" x14ac:dyDescent="0.3">
      <c r="A5" s="16" t="s">
        <v>5</v>
      </c>
      <c r="B5" s="16" t="s">
        <v>6</v>
      </c>
      <c r="C5" s="244"/>
      <c r="D5" s="244"/>
      <c r="E5" s="244"/>
      <c r="F5"/>
      <c r="G5" s="244"/>
      <c r="H5" s="244"/>
      <c r="I5" s="244"/>
      <c r="J5" s="244"/>
      <c r="K5"/>
      <c r="L5" s="213"/>
      <c r="M5" s="214"/>
      <c r="N5" s="214"/>
      <c r="O5" s="214"/>
      <c r="P5"/>
      <c r="Q5" s="216"/>
      <c r="R5" s="217"/>
      <c r="S5" s="217"/>
      <c r="T5" s="217"/>
      <c r="U5"/>
      <c r="V5" s="216"/>
      <c r="W5" s="217"/>
      <c r="X5" s="217"/>
      <c r="Y5" s="217"/>
      <c r="Z5" s="217"/>
      <c r="AA5"/>
      <c r="AB5" s="216"/>
      <c r="AC5" s="217"/>
      <c r="AD5" s="217"/>
      <c r="AE5" s="217"/>
      <c r="AF5" s="217"/>
    </row>
    <row r="6" spans="1:32" s="23" customFormat="1" ht="18.75" x14ac:dyDescent="0.3">
      <c r="A6" s="20" t="s">
        <v>7</v>
      </c>
      <c r="B6" s="20" t="s">
        <v>8</v>
      </c>
      <c r="C6" s="20"/>
      <c r="D6" s="20"/>
      <c r="E6" s="20"/>
      <c r="F6"/>
      <c r="G6" s="20"/>
      <c r="H6" s="20"/>
      <c r="I6" s="20"/>
      <c r="J6" s="20"/>
      <c r="K6"/>
      <c r="L6" s="20"/>
      <c r="M6" s="20"/>
      <c r="N6" s="20"/>
      <c r="O6" s="20"/>
      <c r="P6"/>
      <c r="Q6" s="20"/>
      <c r="R6" s="20"/>
      <c r="S6" s="20"/>
      <c r="T6" s="20"/>
      <c r="U6"/>
      <c r="V6" s="20"/>
      <c r="W6" s="20"/>
      <c r="X6" s="20"/>
      <c r="Y6" s="20"/>
      <c r="Z6" s="20"/>
      <c r="AA6"/>
      <c r="AB6" s="20"/>
      <c r="AC6" s="20"/>
      <c r="AD6" s="20"/>
      <c r="AE6" s="20"/>
      <c r="AF6" s="20"/>
    </row>
    <row r="7" spans="1:32" s="29" customFormat="1" x14ac:dyDescent="0.25">
      <c r="A7" s="24" t="s">
        <v>9</v>
      </c>
      <c r="B7" s="25" t="s">
        <v>10</v>
      </c>
      <c r="C7" s="26"/>
      <c r="D7" s="26"/>
      <c r="E7" s="26"/>
      <c r="F7"/>
      <c r="G7" s="26"/>
      <c r="H7" s="26"/>
      <c r="I7" s="26"/>
      <c r="J7" s="26"/>
      <c r="K7"/>
      <c r="L7" s="26"/>
      <c r="M7" s="26"/>
      <c r="N7" s="26"/>
      <c r="O7" s="26"/>
      <c r="P7"/>
      <c r="Q7" s="26"/>
      <c r="R7" s="26"/>
      <c r="S7" s="26"/>
      <c r="T7" s="26"/>
      <c r="U7"/>
      <c r="V7" s="26"/>
      <c r="W7" s="26"/>
      <c r="X7" s="26"/>
      <c r="Y7" s="26"/>
      <c r="Z7" s="26"/>
      <c r="AA7"/>
      <c r="AB7" s="26"/>
      <c r="AC7" s="26"/>
      <c r="AD7" s="26"/>
      <c r="AE7" s="26"/>
      <c r="AF7" s="26"/>
    </row>
    <row r="8" spans="1:32" ht="18" customHeight="1" x14ac:dyDescent="0.25">
      <c r="A8" s="30"/>
      <c r="B8" s="179" t="s">
        <v>11</v>
      </c>
      <c r="C8" s="34">
        <v>23840.369058</v>
      </c>
      <c r="D8" s="37">
        <v>5783.75</v>
      </c>
      <c r="E8" s="38"/>
      <c r="G8" s="34">
        <v>34030.161088000001</v>
      </c>
      <c r="H8" s="35">
        <v>88732.577636321657</v>
      </c>
      <c r="I8" s="37">
        <v>44424.536436607668</v>
      </c>
      <c r="J8" s="38"/>
      <c r="L8" s="34">
        <v>43803.523654000004</v>
      </c>
      <c r="M8" s="35">
        <v>60936.884423941548</v>
      </c>
      <c r="N8" s="37">
        <v>29303.019520864993</v>
      </c>
      <c r="O8" s="38"/>
      <c r="Q8" s="34">
        <v>24677.454229999999</v>
      </c>
      <c r="R8" s="35">
        <v>59777.207890691127</v>
      </c>
      <c r="S8" s="37">
        <v>6723.4058111025943</v>
      </c>
      <c r="T8" s="38"/>
      <c r="V8" s="34">
        <v>25947.347227999999</v>
      </c>
      <c r="W8" s="35">
        <v>55006.832733494601</v>
      </c>
      <c r="X8" s="182">
        <v>53325.612602513422</v>
      </c>
      <c r="Y8" s="37">
        <v>16966.621056770324</v>
      </c>
      <c r="Z8" s="42"/>
      <c r="AB8" s="34">
        <f t="shared" ref="AB8:AB14" si="0">+C8+G8+L8+Q8+V8</f>
        <v>152298.85525800003</v>
      </c>
      <c r="AC8" s="182">
        <f t="shared" ref="AC8:AC14" si="1">D8+I8+N8+S8+X8</f>
        <v>139560.32437108867</v>
      </c>
      <c r="AD8" s="37">
        <f t="shared" ref="AD8:AD14" si="2">+D8+I8+N8+S8+Y8</f>
        <v>103201.33282534558</v>
      </c>
      <c r="AE8" s="38"/>
      <c r="AF8" s="38"/>
    </row>
    <row r="9" spans="1:32" x14ac:dyDescent="0.25">
      <c r="A9" s="30"/>
      <c r="B9" s="179" t="s">
        <v>13</v>
      </c>
      <c r="C9" s="34">
        <v>0</v>
      </c>
      <c r="D9" s="37">
        <v>5783.75</v>
      </c>
      <c r="E9" s="38"/>
      <c r="G9" s="34">
        <v>23945.625198000002</v>
      </c>
      <c r="H9" s="35">
        <v>88976.592224821536</v>
      </c>
      <c r="I9" s="37">
        <v>0</v>
      </c>
      <c r="J9" s="38"/>
      <c r="L9" s="34">
        <v>67349.195517999993</v>
      </c>
      <c r="M9" s="35">
        <v>88674.741084383597</v>
      </c>
      <c r="N9" s="37">
        <v>16212.574241097191</v>
      </c>
      <c r="O9" s="38"/>
      <c r="Q9" s="34">
        <v>104069.49201</v>
      </c>
      <c r="R9" s="35">
        <v>52284.69019363977</v>
      </c>
      <c r="S9" s="37">
        <v>16587.527427486209</v>
      </c>
      <c r="T9" s="38"/>
      <c r="V9" s="34">
        <v>72976.394964000006</v>
      </c>
      <c r="W9" s="35">
        <v>0</v>
      </c>
      <c r="X9" s="182">
        <v>0</v>
      </c>
      <c r="Y9" s="37">
        <v>0</v>
      </c>
      <c r="Z9" s="42"/>
      <c r="AB9" s="34">
        <f t="shared" si="0"/>
        <v>268340.70768999995</v>
      </c>
      <c r="AC9" s="182">
        <f t="shared" si="1"/>
        <v>38583.851668583404</v>
      </c>
      <c r="AD9" s="37">
        <f t="shared" si="2"/>
        <v>38583.851668583404</v>
      </c>
      <c r="AE9" s="38"/>
      <c r="AF9" s="38"/>
    </row>
    <row r="10" spans="1:32" s="43" customFormat="1" x14ac:dyDescent="0.25">
      <c r="A10" s="40"/>
      <c r="B10" s="41" t="s">
        <v>14</v>
      </c>
      <c r="C10" s="34">
        <v>70981.414481999993</v>
      </c>
      <c r="D10" s="37">
        <v>12114.5</v>
      </c>
      <c r="E10" s="38"/>
      <c r="F10"/>
      <c r="G10" s="34">
        <v>67398.419483999998</v>
      </c>
      <c r="H10" s="35">
        <v>12323.969116155786</v>
      </c>
      <c r="I10" s="37">
        <v>0</v>
      </c>
      <c r="J10" s="42"/>
      <c r="K10"/>
      <c r="L10" s="34">
        <v>47933.319521999998</v>
      </c>
      <c r="M10" s="35">
        <v>31585.529510511351</v>
      </c>
      <c r="N10" s="37">
        <v>167325.87574997498</v>
      </c>
      <c r="O10" s="42"/>
      <c r="P10"/>
      <c r="Q10" s="34">
        <v>51594.780006000001</v>
      </c>
      <c r="R10" s="35">
        <v>151107.61835172997</v>
      </c>
      <c r="S10" s="37">
        <v>198813.12895383354</v>
      </c>
      <c r="T10" s="42"/>
      <c r="U10"/>
      <c r="V10" s="34">
        <v>36166.043034000002</v>
      </c>
      <c r="W10" s="35">
        <v>54292.583633252696</v>
      </c>
      <c r="X10" s="182">
        <v>52635.532951796566</v>
      </c>
      <c r="Y10" s="37">
        <v>140294.69443652988</v>
      </c>
      <c r="Z10" s="42"/>
      <c r="AA10"/>
      <c r="AB10" s="34">
        <f t="shared" si="0"/>
        <v>274073.97652799997</v>
      </c>
      <c r="AC10" s="182">
        <f t="shared" si="1"/>
        <v>430889.03765560506</v>
      </c>
      <c r="AD10" s="37">
        <f t="shared" si="2"/>
        <v>518548.1991403384</v>
      </c>
      <c r="AE10" s="42"/>
      <c r="AF10" s="42"/>
    </row>
    <row r="11" spans="1:32" s="43" customFormat="1" x14ac:dyDescent="0.25">
      <c r="A11" s="40"/>
      <c r="B11" s="41" t="s">
        <v>15</v>
      </c>
      <c r="C11" s="34">
        <v>19833.41646</v>
      </c>
      <c r="D11" s="37">
        <v>29214</v>
      </c>
      <c r="E11" s="38"/>
      <c r="F11"/>
      <c r="G11" s="34">
        <v>19822.38423</v>
      </c>
      <c r="H11" s="35">
        <v>55457.861022701029</v>
      </c>
      <c r="I11" s="37">
        <v>0</v>
      </c>
      <c r="J11" s="42"/>
      <c r="K11"/>
      <c r="L11" s="34">
        <v>17735.166305999999</v>
      </c>
      <c r="M11" s="35">
        <v>18786.844981163504</v>
      </c>
      <c r="N11" s="37">
        <v>1326.3049112341723</v>
      </c>
      <c r="O11" s="42"/>
      <c r="P11"/>
      <c r="Q11" s="34">
        <v>476.76565199999999</v>
      </c>
      <c r="R11" s="35">
        <v>18394.483563939128</v>
      </c>
      <c r="S11" s="37">
        <v>53694.652877818276</v>
      </c>
      <c r="T11" s="42"/>
      <c r="U11"/>
      <c r="V11" s="34">
        <v>502.20977400000004</v>
      </c>
      <c r="W11" s="35">
        <v>54292.583633252696</v>
      </c>
      <c r="X11" s="182">
        <v>52630.854445690013</v>
      </c>
      <c r="Y11" s="37">
        <v>11869.996122364904</v>
      </c>
      <c r="Z11" s="42"/>
      <c r="AA11"/>
      <c r="AB11" s="34">
        <f t="shared" si="0"/>
        <v>58369.942422000007</v>
      </c>
      <c r="AC11" s="182">
        <f t="shared" si="1"/>
        <v>136865.81223474245</v>
      </c>
      <c r="AD11" s="37">
        <f t="shared" si="2"/>
        <v>96104.953911417353</v>
      </c>
      <c r="AE11" s="42"/>
      <c r="AF11" s="42"/>
    </row>
    <row r="12" spans="1:32" s="43" customFormat="1" x14ac:dyDescent="0.25">
      <c r="A12" s="40"/>
      <c r="B12" s="41" t="s">
        <v>16</v>
      </c>
      <c r="C12" s="34">
        <v>16937.195</v>
      </c>
      <c r="D12" s="37">
        <v>1627</v>
      </c>
      <c r="E12" s="38"/>
      <c r="F12"/>
      <c r="G12" s="34">
        <v>16937.195</v>
      </c>
      <c r="H12" s="35">
        <v>13049</v>
      </c>
      <c r="I12" s="37">
        <v>0</v>
      </c>
      <c r="J12" s="42"/>
      <c r="K12"/>
      <c r="L12" s="34">
        <v>16937.195</v>
      </c>
      <c r="M12" s="35">
        <v>16937</v>
      </c>
      <c r="N12" s="37">
        <v>20317.569999999996</v>
      </c>
      <c r="O12" s="42"/>
      <c r="P12"/>
      <c r="Q12" s="34">
        <v>16937.195</v>
      </c>
      <c r="R12" s="35">
        <v>16937</v>
      </c>
      <c r="S12" s="37">
        <v>9084.52</v>
      </c>
      <c r="T12" s="42"/>
      <c r="U12"/>
      <c r="V12" s="34">
        <v>16937.195</v>
      </c>
      <c r="W12" s="35">
        <v>16937</v>
      </c>
      <c r="X12" s="182">
        <v>4000</v>
      </c>
      <c r="Y12" s="37">
        <v>206.24</v>
      </c>
      <c r="Z12" s="42"/>
      <c r="AA12"/>
      <c r="AB12" s="34">
        <f t="shared" si="0"/>
        <v>84685.975000000006</v>
      </c>
      <c r="AC12" s="182">
        <f t="shared" si="1"/>
        <v>35029.089999999997</v>
      </c>
      <c r="AD12" s="37">
        <f t="shared" si="2"/>
        <v>31235.329999999998</v>
      </c>
      <c r="AE12" s="42"/>
      <c r="AF12" s="42"/>
    </row>
    <row r="13" spans="1:32" s="43" customFormat="1" x14ac:dyDescent="0.25">
      <c r="A13" s="40"/>
      <c r="B13" s="41" t="s">
        <v>17</v>
      </c>
      <c r="C13" s="34">
        <v>19000</v>
      </c>
      <c r="D13" s="37">
        <v>0</v>
      </c>
      <c r="E13" s="38"/>
      <c r="F13"/>
      <c r="G13" s="34">
        <v>19000</v>
      </c>
      <c r="H13" s="35">
        <v>10000</v>
      </c>
      <c r="I13" s="37">
        <v>20572.675409130901</v>
      </c>
      <c r="J13" s="42"/>
      <c r="K13"/>
      <c r="L13" s="34">
        <v>19000</v>
      </c>
      <c r="M13" s="35">
        <v>19000</v>
      </c>
      <c r="N13" s="37">
        <v>12373.118211023435</v>
      </c>
      <c r="O13" s="42"/>
      <c r="P13"/>
      <c r="Q13" s="34">
        <v>19000</v>
      </c>
      <c r="R13" s="35">
        <v>19000</v>
      </c>
      <c r="S13" s="37">
        <v>0</v>
      </c>
      <c r="T13" s="42"/>
      <c r="U13"/>
      <c r="V13" s="34">
        <v>19000</v>
      </c>
      <c r="W13" s="35">
        <v>19000</v>
      </c>
      <c r="X13" s="182">
        <v>19000</v>
      </c>
      <c r="Y13" s="37">
        <v>0</v>
      </c>
      <c r="Z13" s="42"/>
      <c r="AA13"/>
      <c r="AB13" s="34">
        <f t="shared" si="0"/>
        <v>95000</v>
      </c>
      <c r="AC13" s="182">
        <f t="shared" si="1"/>
        <v>51945.793620154334</v>
      </c>
      <c r="AD13" s="37">
        <f t="shared" si="2"/>
        <v>32945.793620154334</v>
      </c>
      <c r="AE13" s="42"/>
      <c r="AF13" s="42"/>
    </row>
    <row r="14" spans="1:32" s="43" customFormat="1" x14ac:dyDescent="0.25">
      <c r="A14" s="40"/>
      <c r="B14" s="41" t="s">
        <v>18</v>
      </c>
      <c r="C14" s="34">
        <v>42749.630999999994</v>
      </c>
      <c r="D14" s="37">
        <v>127158.03</v>
      </c>
      <c r="E14" s="38"/>
      <c r="F14"/>
      <c r="G14" s="34">
        <v>42749.630999999994</v>
      </c>
      <c r="H14" s="35">
        <v>19588</v>
      </c>
      <c r="I14" s="37">
        <v>30191.378154261474</v>
      </c>
      <c r="J14" s="42"/>
      <c r="K14"/>
      <c r="L14" s="34">
        <v>42749.630999999994</v>
      </c>
      <c r="M14" s="35">
        <v>19587</v>
      </c>
      <c r="N14" s="37">
        <v>24245.587365805215</v>
      </c>
      <c r="O14" s="42"/>
      <c r="P14"/>
      <c r="Q14" s="34">
        <v>42749.630999999994</v>
      </c>
      <c r="R14" s="35">
        <v>20000</v>
      </c>
      <c r="S14" s="37">
        <v>24679.31492975941</v>
      </c>
      <c r="T14" s="42"/>
      <c r="U14"/>
      <c r="V14" s="34">
        <v>42749.630999999994</v>
      </c>
      <c r="W14" s="35">
        <v>15000</v>
      </c>
      <c r="X14" s="182">
        <v>20000</v>
      </c>
      <c r="Y14" s="37">
        <v>20508.928384334893</v>
      </c>
      <c r="Z14" s="42"/>
      <c r="AA14"/>
      <c r="AB14" s="34">
        <f t="shared" si="0"/>
        <v>213748.15499999997</v>
      </c>
      <c r="AC14" s="182">
        <f t="shared" si="1"/>
        <v>226274.31044982612</v>
      </c>
      <c r="AD14" s="37">
        <f t="shared" si="2"/>
        <v>226783.23883416102</v>
      </c>
      <c r="AE14" s="42"/>
      <c r="AF14" s="42"/>
    </row>
    <row r="15" spans="1:32" s="52" customFormat="1" x14ac:dyDescent="0.25">
      <c r="A15" s="40"/>
      <c r="B15" s="44" t="s">
        <v>19</v>
      </c>
      <c r="C15" s="46">
        <f>SUM(C8:C14)</f>
        <v>193342.02599999998</v>
      </c>
      <c r="D15" s="49">
        <f>SUM(D8:D14)</f>
        <v>181681.03</v>
      </c>
      <c r="E15" s="50">
        <f>+C15-D15</f>
        <v>11660.995999999985</v>
      </c>
      <c r="F15"/>
      <c r="G15" s="46">
        <f>SUM(G8:G14)</f>
        <v>223883.416</v>
      </c>
      <c r="H15" s="47">
        <f>SUM(H8:H14)</f>
        <v>288128</v>
      </c>
      <c r="I15" s="49">
        <f>SUM(I8:I14)</f>
        <v>95188.59000000004</v>
      </c>
      <c r="J15" s="50">
        <f>+G15-I15</f>
        <v>128694.82599999996</v>
      </c>
      <c r="K15"/>
      <c r="L15" s="46">
        <f>SUM(L8:L14)</f>
        <v>255508.03099999999</v>
      </c>
      <c r="M15" s="47">
        <f>SUM(M8:M14)</f>
        <v>255508</v>
      </c>
      <c r="N15" s="49">
        <f>SUM(N8:N14)</f>
        <v>271104.05</v>
      </c>
      <c r="O15" s="50">
        <f>+M15-N15</f>
        <v>-15596.049999999988</v>
      </c>
      <c r="P15"/>
      <c r="Q15" s="46">
        <f>SUM(Q8:Q14)</f>
        <v>259505.31789800001</v>
      </c>
      <c r="R15" s="47">
        <f>SUM(R8:R14)</f>
        <v>337501</v>
      </c>
      <c r="S15" s="49">
        <f>SUM(S8:S14)</f>
        <v>309582.55000000005</v>
      </c>
      <c r="T15" s="50">
        <f>+R15-S15</f>
        <v>27918.449999999953</v>
      </c>
      <c r="U15"/>
      <c r="V15" s="46">
        <f>SUM(V8:V14)</f>
        <v>214278.821</v>
      </c>
      <c r="W15" s="47">
        <f>SUM(W8:W14)</f>
        <v>214529</v>
      </c>
      <c r="X15" s="183">
        <f>SUM(X8:X14)</f>
        <v>201592</v>
      </c>
      <c r="Y15" s="49">
        <v>189846.48</v>
      </c>
      <c r="Z15" s="50"/>
      <c r="AA15"/>
      <c r="AB15" s="46">
        <f>SUM(AB8:AB14)</f>
        <v>1146517.6118979999</v>
      </c>
      <c r="AC15" s="183">
        <f>SUM(AC8:AC14)</f>
        <v>1059148.22</v>
      </c>
      <c r="AD15" s="49">
        <f>SUM(AD8:AD14)</f>
        <v>1047402.7000000002</v>
      </c>
      <c r="AE15" s="50"/>
      <c r="AF15" s="50"/>
    </row>
    <row r="16" spans="1:32" s="43" customFormat="1" x14ac:dyDescent="0.25">
      <c r="A16" s="40"/>
      <c r="B16" s="41" t="s">
        <v>20</v>
      </c>
      <c r="C16" s="34">
        <v>46080</v>
      </c>
      <c r="D16" s="37">
        <v>46080</v>
      </c>
      <c r="E16" s="38"/>
      <c r="F16"/>
      <c r="G16" s="34">
        <f>C16</f>
        <v>46080</v>
      </c>
      <c r="H16" s="35">
        <v>46080</v>
      </c>
      <c r="I16" s="245">
        <v>50291</v>
      </c>
      <c r="J16" s="42"/>
      <c r="K16"/>
      <c r="L16" s="34">
        <v>46080</v>
      </c>
      <c r="M16" s="35">
        <v>46080</v>
      </c>
      <c r="N16" s="245">
        <v>64718</v>
      </c>
      <c r="O16" s="42"/>
      <c r="P16"/>
      <c r="Q16" s="34">
        <f>L16</f>
        <v>46080</v>
      </c>
      <c r="R16" s="35">
        <v>72459.799999999988</v>
      </c>
      <c r="S16" s="37">
        <v>54332</v>
      </c>
      <c r="T16" s="42"/>
      <c r="U16"/>
      <c r="V16" s="34">
        <f>Q16</f>
        <v>46080</v>
      </c>
      <c r="W16" s="35">
        <v>59181.347368421055</v>
      </c>
      <c r="X16" s="182">
        <v>59181.347368421055</v>
      </c>
      <c r="Y16" s="37">
        <v>66798</v>
      </c>
      <c r="Z16" s="42"/>
      <c r="AA16"/>
      <c r="AB16" s="34">
        <f>+C16+G16+L16+Q16+V16</f>
        <v>230400</v>
      </c>
      <c r="AC16" s="182">
        <f>D16+I16+N16+S16+X16</f>
        <v>274602.34736842103</v>
      </c>
      <c r="AD16" s="37">
        <f>+D16+I16+N16+S16+Y16</f>
        <v>282219</v>
      </c>
      <c r="AE16" s="42"/>
      <c r="AF16" s="42"/>
    </row>
    <row r="17" spans="1:32" s="43" customFormat="1" ht="18.75" x14ac:dyDescent="0.3">
      <c r="A17" s="40"/>
      <c r="B17" s="44" t="s">
        <v>21</v>
      </c>
      <c r="C17" s="53">
        <f>C15+C16</f>
        <v>239422.02599999998</v>
      </c>
      <c r="D17" s="56">
        <f>D15+D16</f>
        <v>227761.03</v>
      </c>
      <c r="E17" s="50">
        <f>+C17-D17</f>
        <v>11660.995999999985</v>
      </c>
      <c r="F17"/>
      <c r="G17" s="53">
        <f>G15+G16</f>
        <v>269963.41599999997</v>
      </c>
      <c r="H17" s="54">
        <f>H15+H16</f>
        <v>334208</v>
      </c>
      <c r="I17" s="56">
        <f>I15+I16</f>
        <v>145479.59000000003</v>
      </c>
      <c r="J17" s="50">
        <f>+G17-I17</f>
        <v>124483.82599999994</v>
      </c>
      <c r="K17"/>
      <c r="L17" s="53">
        <f>L15+L16</f>
        <v>301588.03099999996</v>
      </c>
      <c r="M17" s="54">
        <f>M15+M16</f>
        <v>301588</v>
      </c>
      <c r="N17" s="56">
        <f>N15+N16</f>
        <v>335822.05</v>
      </c>
      <c r="O17" s="50">
        <f>+M17-N17</f>
        <v>-34234.049999999988</v>
      </c>
      <c r="P17"/>
      <c r="Q17" s="53">
        <f>Q15+Q16</f>
        <v>305585.31789800001</v>
      </c>
      <c r="R17" s="54">
        <f>R15+R16</f>
        <v>409960.8</v>
      </c>
      <c r="S17" s="56">
        <f>S15+S16</f>
        <v>363914.55000000005</v>
      </c>
      <c r="T17" s="50">
        <f>+R17-S17</f>
        <v>46046.249999999942</v>
      </c>
      <c r="U17"/>
      <c r="V17" s="53">
        <f>V15+V16</f>
        <v>260358.821</v>
      </c>
      <c r="W17" s="54">
        <f>W15+W16</f>
        <v>273710.34736842103</v>
      </c>
      <c r="X17" s="184">
        <f>X15+X16</f>
        <v>260773.34736842106</v>
      </c>
      <c r="Y17" s="49">
        <v>256644.48000000001</v>
      </c>
      <c r="Z17" s="185">
        <f>V17-W17</f>
        <v>-13351.526368421037</v>
      </c>
      <c r="AA17"/>
      <c r="AB17" s="53">
        <f>AB15+AB16</f>
        <v>1376917.6118979999</v>
      </c>
      <c r="AC17" s="184">
        <f>AC15+AC16</f>
        <v>1333750.567368421</v>
      </c>
      <c r="AD17" s="56">
        <f>AD15+AD16</f>
        <v>1329621.7000000002</v>
      </c>
      <c r="AE17" s="50">
        <f>+AC17-AD17</f>
        <v>4128.8673684208188</v>
      </c>
      <c r="AF17" s="186">
        <f>AE17/AB17</f>
        <v>2.9986306607912567E-3</v>
      </c>
    </row>
    <row r="18" spans="1:32" s="65" customFormat="1" ht="18.75" x14ac:dyDescent="0.3">
      <c r="A18" s="58"/>
      <c r="B18" s="58"/>
      <c r="C18" s="60"/>
      <c r="D18" s="63"/>
      <c r="E18" s="58"/>
      <c r="F18"/>
      <c r="G18" s="60"/>
      <c r="H18" s="61"/>
      <c r="I18" s="63"/>
      <c r="J18" s="58"/>
      <c r="K18"/>
      <c r="L18" s="60"/>
      <c r="M18" s="61"/>
      <c r="N18" s="63"/>
      <c r="O18" s="58"/>
      <c r="P18"/>
      <c r="Q18" s="60"/>
      <c r="R18" s="61"/>
      <c r="S18" s="63"/>
      <c r="T18" s="58"/>
      <c r="U18"/>
      <c r="V18" s="60"/>
      <c r="W18" s="61"/>
      <c r="X18" s="187"/>
      <c r="Y18" s="63"/>
      <c r="Z18" s="58"/>
      <c r="AA18"/>
      <c r="AB18" s="60"/>
      <c r="AC18" s="187"/>
      <c r="AD18" s="63"/>
      <c r="AE18" s="58"/>
      <c r="AF18" s="58"/>
    </row>
    <row r="19" spans="1:32" s="43" customFormat="1" x14ac:dyDescent="0.25">
      <c r="A19" s="24" t="s">
        <v>22</v>
      </c>
      <c r="B19" s="25" t="s">
        <v>23</v>
      </c>
      <c r="C19" s="26"/>
      <c r="D19" s="26"/>
      <c r="E19" s="26"/>
      <c r="F19"/>
      <c r="G19" s="26"/>
      <c r="H19" s="26"/>
      <c r="I19" s="26"/>
      <c r="J19" s="26"/>
      <c r="K19"/>
      <c r="L19" s="26"/>
      <c r="M19" s="26"/>
      <c r="N19" s="26"/>
      <c r="O19" s="26"/>
      <c r="P19"/>
      <c r="Q19" s="26"/>
      <c r="R19" s="26"/>
      <c r="S19" s="26"/>
      <c r="T19" s="26"/>
      <c r="U19"/>
      <c r="V19" s="26"/>
      <c r="W19" s="26"/>
      <c r="X19" s="26"/>
      <c r="Y19" s="26"/>
      <c r="Z19" s="26"/>
      <c r="AA19"/>
      <c r="AB19" s="26"/>
      <c r="AC19" s="26"/>
      <c r="AD19" s="26"/>
      <c r="AE19" s="26"/>
      <c r="AF19" s="26"/>
    </row>
    <row r="20" spans="1:32" s="43" customFormat="1" ht="18" customHeight="1" x14ac:dyDescent="0.25">
      <c r="A20" s="40"/>
      <c r="B20" s="41" t="s">
        <v>11</v>
      </c>
      <c r="C20" s="34">
        <v>36728.472727272718</v>
      </c>
      <c r="D20" s="37">
        <v>37108.75</v>
      </c>
      <c r="E20" s="38"/>
      <c r="F20"/>
      <c r="G20" s="34">
        <v>33363.238181818182</v>
      </c>
      <c r="H20" s="35">
        <v>35650.726233766232</v>
      </c>
      <c r="I20" s="37">
        <v>16098.979952357266</v>
      </c>
      <c r="J20" s="42"/>
      <c r="K20"/>
      <c r="L20" s="34">
        <v>31786.224491975139</v>
      </c>
      <c r="M20" s="35">
        <v>44538.222400936116</v>
      </c>
      <c r="N20" s="37">
        <v>35109.135855106615</v>
      </c>
      <c r="O20" s="42"/>
      <c r="P20"/>
      <c r="Q20" s="34">
        <v>31786.224491975139</v>
      </c>
      <c r="R20" s="35">
        <v>32487.390087663029</v>
      </c>
      <c r="S20" s="37">
        <v>32489.102335851072</v>
      </c>
      <c r="T20" s="42"/>
      <c r="U20"/>
      <c r="V20" s="34">
        <v>31786.224491975139</v>
      </c>
      <c r="W20" s="35">
        <v>39962.326532213512</v>
      </c>
      <c r="X20" s="182">
        <v>39962.326532213512</v>
      </c>
      <c r="Y20" s="37">
        <v>51325.862201252086</v>
      </c>
      <c r="Z20" s="42"/>
      <c r="AA20"/>
      <c r="AB20" s="34">
        <f t="shared" ref="AB20:AB26" si="3">+C20+G20+L20+Q20+V20</f>
        <v>165450.38438501634</v>
      </c>
      <c r="AC20" s="182">
        <f t="shared" ref="AC20:AC26" si="4">D20+I20+N20+S20+X20</f>
        <v>160768.29467552848</v>
      </c>
      <c r="AD20" s="37">
        <f t="shared" ref="AD20:AD26" si="5">+D20+I20+N20+S20+Y20</f>
        <v>172131.83034456705</v>
      </c>
      <c r="AE20" s="42"/>
      <c r="AF20" s="42"/>
    </row>
    <row r="21" spans="1:32" s="43" customFormat="1" x14ac:dyDescent="0.25">
      <c r="A21" s="40"/>
      <c r="B21" s="41" t="s">
        <v>13</v>
      </c>
      <c r="C21" s="34">
        <v>36735.125454545458</v>
      </c>
      <c r="D21" s="37">
        <v>33262.75</v>
      </c>
      <c r="E21" s="38"/>
      <c r="F21"/>
      <c r="G21" s="34">
        <v>41269.43454545454</v>
      </c>
      <c r="H21" s="35">
        <v>51247.918961038959</v>
      </c>
      <c r="I21" s="37">
        <v>15662.424811314911</v>
      </c>
      <c r="J21" s="42"/>
      <c r="K21"/>
      <c r="L21" s="34">
        <v>39318.710730949897</v>
      </c>
      <c r="M21" s="35">
        <v>32773.384360453427</v>
      </c>
      <c r="N21" s="37">
        <v>29656.028874880743</v>
      </c>
      <c r="O21" s="42"/>
      <c r="P21"/>
      <c r="Q21" s="34">
        <v>39318.710730949897</v>
      </c>
      <c r="R21" s="35">
        <v>43497.760786829167</v>
      </c>
      <c r="S21" s="37">
        <v>36149.452902195517</v>
      </c>
      <c r="T21" s="42"/>
      <c r="U21"/>
      <c r="V21" s="34">
        <v>39318.710730949897</v>
      </c>
      <c r="W21" s="35">
        <v>25899.787634518911</v>
      </c>
      <c r="X21" s="182">
        <v>25899.787634518911</v>
      </c>
      <c r="Y21" s="37">
        <v>43175.292021629095</v>
      </c>
      <c r="Z21" s="42"/>
      <c r="AA21"/>
      <c r="AB21" s="34">
        <f t="shared" si="3"/>
        <v>195960.6921928497</v>
      </c>
      <c r="AC21" s="182">
        <f t="shared" si="4"/>
        <v>140630.44422291007</v>
      </c>
      <c r="AD21" s="37">
        <f t="shared" si="5"/>
        <v>157905.94861002028</v>
      </c>
      <c r="AE21" s="42"/>
      <c r="AF21" s="42"/>
    </row>
    <row r="22" spans="1:32" s="43" customFormat="1" x14ac:dyDescent="0.25">
      <c r="A22" s="40"/>
      <c r="B22" s="41" t="s">
        <v>14</v>
      </c>
      <c r="C22" s="34">
        <v>39712.030909090907</v>
      </c>
      <c r="D22" s="37">
        <v>46846.75</v>
      </c>
      <c r="E22" s="38"/>
      <c r="F22"/>
      <c r="G22" s="34">
        <v>61457.896363636362</v>
      </c>
      <c r="H22" s="35">
        <v>66845.111688311677</v>
      </c>
      <c r="I22" s="37">
        <v>48382.921350268502</v>
      </c>
      <c r="J22" s="42"/>
      <c r="K22"/>
      <c r="L22" s="34">
        <v>58552.904246677288</v>
      </c>
      <c r="M22" s="35">
        <v>54369.372827507497</v>
      </c>
      <c r="N22" s="37">
        <v>33340.746858738057</v>
      </c>
      <c r="O22" s="42"/>
      <c r="P22"/>
      <c r="Q22" s="34">
        <v>58552.904246677288</v>
      </c>
      <c r="R22" s="35">
        <v>97869.961770365611</v>
      </c>
      <c r="S22" s="37">
        <v>60217.24475285229</v>
      </c>
      <c r="T22" s="42"/>
      <c r="U22"/>
      <c r="V22" s="34">
        <v>58552.904246677288</v>
      </c>
      <c r="W22" s="35">
        <v>30841.592666027842</v>
      </c>
      <c r="X22" s="182">
        <v>30841.592666027842</v>
      </c>
      <c r="Y22" s="37">
        <v>20896.302309177507</v>
      </c>
      <c r="Z22" s="42"/>
      <c r="AA22"/>
      <c r="AB22" s="34">
        <f t="shared" si="3"/>
        <v>276828.64001275913</v>
      </c>
      <c r="AC22" s="182">
        <f t="shared" si="4"/>
        <v>219629.25562788668</v>
      </c>
      <c r="AD22" s="37">
        <f t="shared" si="5"/>
        <v>209683.96527103634</v>
      </c>
      <c r="AE22" s="42"/>
      <c r="AF22" s="42"/>
    </row>
    <row r="23" spans="1:32" s="43" customFormat="1" x14ac:dyDescent="0.25">
      <c r="A23" s="40"/>
      <c r="B23" s="41" t="s">
        <v>15</v>
      </c>
      <c r="C23" s="34">
        <v>20851.643636363639</v>
      </c>
      <c r="D23" s="37">
        <v>24514.75</v>
      </c>
      <c r="E23" s="38"/>
      <c r="F23"/>
      <c r="G23" s="34">
        <v>18436.703636363636</v>
      </c>
      <c r="H23" s="35">
        <v>17825.363116883116</v>
      </c>
      <c r="I23" s="37">
        <v>5916.5853529060678</v>
      </c>
      <c r="J23" s="42"/>
      <c r="K23"/>
      <c r="L23" s="34">
        <v>17565.237447390129</v>
      </c>
      <c r="M23" s="35">
        <v>32773.410411102966</v>
      </c>
      <c r="N23" s="37">
        <v>31178.940064672559</v>
      </c>
      <c r="O23" s="42"/>
      <c r="P23"/>
      <c r="Q23" s="34">
        <v>17565.237447390129</v>
      </c>
      <c r="R23" s="35">
        <v>38060.540688475521</v>
      </c>
      <c r="S23" s="37">
        <v>42041.276231095893</v>
      </c>
      <c r="T23" s="42"/>
      <c r="U23"/>
      <c r="V23" s="34">
        <v>17565.237447390129</v>
      </c>
      <c r="W23" s="35">
        <v>28150.413167239727</v>
      </c>
      <c r="X23" s="182">
        <v>28150.413167239727</v>
      </c>
      <c r="Y23" s="37">
        <v>42261.757137638262</v>
      </c>
      <c r="Z23" s="42"/>
      <c r="AA23"/>
      <c r="AB23" s="34">
        <f t="shared" si="3"/>
        <v>91984.059614897662</v>
      </c>
      <c r="AC23" s="182">
        <f t="shared" si="4"/>
        <v>131801.96481591425</v>
      </c>
      <c r="AD23" s="37">
        <f t="shared" si="5"/>
        <v>145913.30878631279</v>
      </c>
      <c r="AE23" s="42"/>
      <c r="AF23" s="42"/>
    </row>
    <row r="24" spans="1:32" s="43" customFormat="1" x14ac:dyDescent="0.25">
      <c r="A24" s="40"/>
      <c r="B24" s="41" t="s">
        <v>16</v>
      </c>
      <c r="C24" s="34">
        <v>19200</v>
      </c>
      <c r="D24" s="37">
        <v>13864.970000000001</v>
      </c>
      <c r="E24" s="38"/>
      <c r="F24"/>
      <c r="G24" s="34">
        <v>19200</v>
      </c>
      <c r="H24" s="35">
        <v>10000</v>
      </c>
      <c r="I24" s="37">
        <v>13317.064966113394</v>
      </c>
      <c r="J24" s="42"/>
      <c r="K24"/>
      <c r="L24" s="34">
        <v>18292.454315136372</v>
      </c>
      <c r="M24" s="35">
        <v>19200</v>
      </c>
      <c r="N24" s="37">
        <v>7732.8399999999983</v>
      </c>
      <c r="O24" s="42"/>
      <c r="P24"/>
      <c r="Q24" s="34">
        <v>18292.454315136372</v>
      </c>
      <c r="R24" s="35">
        <v>7500</v>
      </c>
      <c r="S24" s="37">
        <v>610.6</v>
      </c>
      <c r="T24" s="42"/>
      <c r="U24"/>
      <c r="V24" s="34">
        <v>18292.454315136372</v>
      </c>
      <c r="W24" s="35">
        <v>7500</v>
      </c>
      <c r="X24" s="182">
        <v>7500</v>
      </c>
      <c r="Y24" s="37">
        <v>1147.69</v>
      </c>
      <c r="Z24" s="42"/>
      <c r="AA24"/>
      <c r="AB24" s="34">
        <f t="shared" si="3"/>
        <v>93277.362945409128</v>
      </c>
      <c r="AC24" s="182">
        <f t="shared" si="4"/>
        <v>43025.47496611339</v>
      </c>
      <c r="AD24" s="37">
        <f t="shared" si="5"/>
        <v>36673.164966113392</v>
      </c>
      <c r="AE24" s="42"/>
      <c r="AF24" s="42"/>
    </row>
    <row r="25" spans="1:32" s="43" customFormat="1" x14ac:dyDescent="0.25">
      <c r="A25" s="40"/>
      <c r="B25" s="41" t="s">
        <v>17</v>
      </c>
      <c r="C25" s="34">
        <v>19000</v>
      </c>
      <c r="D25" s="37">
        <v>0</v>
      </c>
      <c r="E25" s="38"/>
      <c r="F25"/>
      <c r="G25" s="34">
        <v>19000</v>
      </c>
      <c r="H25" s="35">
        <v>28000</v>
      </c>
      <c r="I25" s="37">
        <v>30183.799815296592</v>
      </c>
      <c r="J25" s="42"/>
      <c r="K25"/>
      <c r="L25" s="34">
        <v>18101.907916020369</v>
      </c>
      <c r="M25" s="35">
        <v>24838.710000000003</v>
      </c>
      <c r="N25" s="37">
        <v>16506.520568955755</v>
      </c>
      <c r="O25" s="42"/>
      <c r="P25"/>
      <c r="Q25" s="34">
        <v>18101.907916020369</v>
      </c>
      <c r="R25" s="35">
        <v>19000</v>
      </c>
      <c r="S25" s="37">
        <v>14919.631572101034</v>
      </c>
      <c r="T25" s="42"/>
      <c r="U25"/>
      <c r="V25" s="34">
        <v>18101.907916020369</v>
      </c>
      <c r="W25" s="35">
        <v>10000</v>
      </c>
      <c r="X25" s="182">
        <v>10000</v>
      </c>
      <c r="Y25" s="37">
        <v>6696.9696969696997</v>
      </c>
      <c r="Z25" s="42"/>
      <c r="AA25"/>
      <c r="AB25" s="34">
        <f t="shared" si="3"/>
        <v>92305.723748061107</v>
      </c>
      <c r="AC25" s="182">
        <f t="shared" si="4"/>
        <v>71609.951956353383</v>
      </c>
      <c r="AD25" s="37">
        <f t="shared" si="5"/>
        <v>68306.921653323079</v>
      </c>
      <c r="AE25" s="42"/>
      <c r="AF25" s="42"/>
    </row>
    <row r="26" spans="1:32" s="43" customFormat="1" x14ac:dyDescent="0.25">
      <c r="A26" s="40"/>
      <c r="B26" s="41" t="s">
        <v>18</v>
      </c>
      <c r="C26" s="34">
        <v>37138.000000000015</v>
      </c>
      <c r="D26" s="37">
        <v>26138</v>
      </c>
      <c r="E26" s="38"/>
      <c r="F26"/>
      <c r="G26" s="34">
        <v>37138.000000000015</v>
      </c>
      <c r="H26" s="35">
        <v>20295.884242424243</v>
      </c>
      <c r="I26" s="37">
        <v>131989.78375174323</v>
      </c>
      <c r="J26" s="66"/>
      <c r="K26"/>
      <c r="L26" s="34">
        <v>35382.560851850772</v>
      </c>
      <c r="M26" s="35">
        <v>30432.26</v>
      </c>
      <c r="N26" s="37">
        <v>16214.937777646257</v>
      </c>
      <c r="O26" s="66"/>
      <c r="P26"/>
      <c r="Q26" s="34">
        <v>35382.560851850772</v>
      </c>
      <c r="R26" s="35">
        <v>24900</v>
      </c>
      <c r="S26" s="37">
        <v>24959.762205904139</v>
      </c>
      <c r="T26" s="66"/>
      <c r="U26"/>
      <c r="V26" s="34">
        <v>35382.560851850772</v>
      </c>
      <c r="W26" s="35">
        <v>47600.000909090908</v>
      </c>
      <c r="X26" s="182">
        <v>47600.000909090908</v>
      </c>
      <c r="Y26" s="37">
        <v>41672.936633333346</v>
      </c>
      <c r="Z26" s="42"/>
      <c r="AA26"/>
      <c r="AB26" s="34">
        <f t="shared" si="3"/>
        <v>180423.68255555237</v>
      </c>
      <c r="AC26" s="182">
        <f t="shared" si="4"/>
        <v>246902.48464438456</v>
      </c>
      <c r="AD26" s="37">
        <f t="shared" si="5"/>
        <v>240975.420368627</v>
      </c>
      <c r="AE26" s="66"/>
      <c r="AF26" s="66"/>
    </row>
    <row r="27" spans="1:32" s="52" customFormat="1" x14ac:dyDescent="0.25">
      <c r="A27" s="40"/>
      <c r="B27" s="44" t="s">
        <v>19</v>
      </c>
      <c r="C27" s="46">
        <f>SUM(C20:C26)</f>
        <v>209365.27272727276</v>
      </c>
      <c r="D27" s="49">
        <f>SUM(D20:D26)</f>
        <v>181735.97</v>
      </c>
      <c r="E27" s="50">
        <f>+C27-D27</f>
        <v>27629.302727272763</v>
      </c>
      <c r="F27"/>
      <c r="G27" s="46">
        <f>SUM(G20:G26)</f>
        <v>229865.27272727276</v>
      </c>
      <c r="H27" s="47">
        <f>SUM(H20:H26)</f>
        <v>229865.00424242424</v>
      </c>
      <c r="I27" s="49">
        <f>SUM(I20:I26)</f>
        <v>261551.55999999997</v>
      </c>
      <c r="J27" s="50">
        <f>+G27-I27</f>
        <v>-31686.287272727204</v>
      </c>
      <c r="K27"/>
      <c r="L27" s="46">
        <f>200000+19000</f>
        <v>219000</v>
      </c>
      <c r="M27" s="47">
        <f>SUM(M20:M26)</f>
        <v>238925.36</v>
      </c>
      <c r="N27" s="49">
        <v>169739.15</v>
      </c>
      <c r="O27" s="50">
        <f>+M27-N27</f>
        <v>69186.209999999992</v>
      </c>
      <c r="P27"/>
      <c r="Q27" s="46">
        <f>200000+19000</f>
        <v>219000</v>
      </c>
      <c r="R27" s="47">
        <f>SUM(R20:R26)</f>
        <v>263315.65333333332</v>
      </c>
      <c r="S27" s="49">
        <f>SUM(S20:S26)</f>
        <v>211387.06999999995</v>
      </c>
      <c r="T27" s="50">
        <f>+R27-S27</f>
        <v>51928.583333333372</v>
      </c>
      <c r="U27"/>
      <c r="V27" s="46">
        <f>200000+19000</f>
        <v>219000</v>
      </c>
      <c r="W27" s="47">
        <f>SUM(W20:W26)</f>
        <v>189954.12090909091</v>
      </c>
      <c r="X27" s="183">
        <f>SUM(X20:X26)</f>
        <v>189954.12090909091</v>
      </c>
      <c r="Y27" s="49">
        <v>207176.81</v>
      </c>
      <c r="Z27" s="50"/>
      <c r="AA27"/>
      <c r="AB27" s="46">
        <f>SUM(AB20:AB26)</f>
        <v>1096230.5454545456</v>
      </c>
      <c r="AC27" s="183">
        <f>SUM(AC20:AC26)</f>
        <v>1014367.8709090907</v>
      </c>
      <c r="AD27" s="49">
        <f>SUM(AD20:AD26)</f>
        <v>1031590.56</v>
      </c>
      <c r="AE27" s="50"/>
      <c r="AF27" s="50"/>
    </row>
    <row r="28" spans="1:32" s="43" customFormat="1" x14ac:dyDescent="0.25">
      <c r="A28" s="40"/>
      <c r="B28" s="41" t="s">
        <v>20</v>
      </c>
      <c r="C28" s="34">
        <v>38720</v>
      </c>
      <c r="D28" s="37">
        <v>38720</v>
      </c>
      <c r="E28" s="38"/>
      <c r="F28"/>
      <c r="G28" s="34">
        <v>38720</v>
      </c>
      <c r="H28" s="35">
        <v>39881.599999999999</v>
      </c>
      <c r="I28" s="37">
        <v>49920.5</v>
      </c>
      <c r="J28" s="42"/>
      <c r="K28"/>
      <c r="L28" s="34">
        <v>38720</v>
      </c>
      <c r="M28" s="35">
        <v>38720</v>
      </c>
      <c r="N28" s="37">
        <v>36627</v>
      </c>
      <c r="O28" s="42"/>
      <c r="P28"/>
      <c r="Q28" s="34">
        <v>38720</v>
      </c>
      <c r="R28" s="35">
        <v>52891.400000000009</v>
      </c>
      <c r="S28" s="37">
        <v>31800</v>
      </c>
      <c r="T28" s="42"/>
      <c r="U28"/>
      <c r="V28" s="34">
        <v>38720</v>
      </c>
      <c r="W28" s="35">
        <v>40519.957894736843</v>
      </c>
      <c r="X28" s="182">
        <v>40519.957894736843</v>
      </c>
      <c r="Y28" s="37">
        <v>34570</v>
      </c>
      <c r="Z28" s="42"/>
      <c r="AA28"/>
      <c r="AB28" s="34">
        <f>+C28+G28+L28+Q28+V28</f>
        <v>193600</v>
      </c>
      <c r="AC28" s="182">
        <f>D28+I28+N28+S28+X28</f>
        <v>197587.45789473684</v>
      </c>
      <c r="AD28" s="37">
        <f>+D28+I28+N28+S28+Y28</f>
        <v>191637.5</v>
      </c>
      <c r="AE28" s="42"/>
      <c r="AF28" s="42"/>
    </row>
    <row r="29" spans="1:32" s="52" customFormat="1" ht="18.75" x14ac:dyDescent="0.3">
      <c r="A29" s="40"/>
      <c r="B29" s="44" t="s">
        <v>21</v>
      </c>
      <c r="C29" s="53">
        <f>C27+C28</f>
        <v>248085.27272727276</v>
      </c>
      <c r="D29" s="56">
        <f>D27+D28</f>
        <v>220455.97</v>
      </c>
      <c r="E29" s="50">
        <f>+C29-D29</f>
        <v>27629.302727272763</v>
      </c>
      <c r="F29"/>
      <c r="G29" s="53">
        <f>G27+G28</f>
        <v>268585.27272727276</v>
      </c>
      <c r="H29" s="54">
        <f>H27+H28</f>
        <v>269746.60424242425</v>
      </c>
      <c r="I29" s="56">
        <f>I27+I28</f>
        <v>311472.05999999994</v>
      </c>
      <c r="J29" s="50">
        <f>+G29-I29</f>
        <v>-42886.787272727175</v>
      </c>
      <c r="K29"/>
      <c r="L29" s="53">
        <f>L27+L28</f>
        <v>257720</v>
      </c>
      <c r="M29" s="54">
        <f>M27+M28</f>
        <v>277645.36</v>
      </c>
      <c r="N29" s="56">
        <f>N27+N28</f>
        <v>206366.15</v>
      </c>
      <c r="O29" s="50">
        <f>+M29-N29</f>
        <v>71279.209999999992</v>
      </c>
      <c r="P29"/>
      <c r="Q29" s="53">
        <f>Q27+Q28</f>
        <v>257720</v>
      </c>
      <c r="R29" s="54">
        <f>R27+R28</f>
        <v>316207.05333333334</v>
      </c>
      <c r="S29" s="56">
        <f>S27+S28</f>
        <v>243187.06999999995</v>
      </c>
      <c r="T29" s="50">
        <f>+R29-S29</f>
        <v>73019.983333333395</v>
      </c>
      <c r="U29"/>
      <c r="V29" s="53">
        <f>V27+V28</f>
        <v>257720</v>
      </c>
      <c r="W29" s="47">
        <f>W27+W28</f>
        <v>230474.07880382775</v>
      </c>
      <c r="X29" s="183">
        <f>X27+X28</f>
        <v>230474.07880382775</v>
      </c>
      <c r="Y29" s="49">
        <v>241746.81</v>
      </c>
      <c r="Z29" s="185">
        <f>V29-W29</f>
        <v>27245.921196172247</v>
      </c>
      <c r="AA29"/>
      <c r="AB29" s="53">
        <f>AB27+AB28</f>
        <v>1289830.5454545456</v>
      </c>
      <c r="AC29" s="183">
        <f>AC27+AC28</f>
        <v>1211955.3288038275</v>
      </c>
      <c r="AD29" s="56">
        <f>AD27+AD28</f>
        <v>1223228.06</v>
      </c>
      <c r="AE29" s="50">
        <f>+AC29-AD29</f>
        <v>-11272.731196172535</v>
      </c>
      <c r="AF29" s="186">
        <f>AE29/AB29</f>
        <v>-8.7396993627561689E-3</v>
      </c>
    </row>
    <row r="30" spans="1:32" s="74" customFormat="1" ht="18.75" customHeight="1" x14ac:dyDescent="0.25">
      <c r="A30" s="67"/>
      <c r="B30" s="67"/>
      <c r="C30" s="69"/>
      <c r="D30" s="72"/>
      <c r="E30" s="67"/>
      <c r="F30"/>
      <c r="G30" s="69"/>
      <c r="H30" s="70"/>
      <c r="I30" s="72"/>
      <c r="J30" s="67"/>
      <c r="K30"/>
      <c r="L30" s="69"/>
      <c r="M30" s="70"/>
      <c r="N30" s="72"/>
      <c r="O30" s="67"/>
      <c r="P30"/>
      <c r="Q30" s="69"/>
      <c r="R30" s="70"/>
      <c r="S30" s="72"/>
      <c r="T30" s="67"/>
      <c r="U30"/>
      <c r="V30" s="69"/>
      <c r="W30" s="70"/>
      <c r="X30" s="188"/>
      <c r="Y30" s="72"/>
      <c r="Z30" s="67"/>
      <c r="AA30"/>
      <c r="AB30" s="69"/>
      <c r="AC30" s="188"/>
      <c r="AD30" s="72"/>
      <c r="AE30" s="67"/>
      <c r="AF30" s="67"/>
    </row>
    <row r="31" spans="1:32" s="43" customFormat="1" x14ac:dyDescent="0.25">
      <c r="A31" s="24" t="s">
        <v>26</v>
      </c>
      <c r="B31" s="25" t="s">
        <v>27</v>
      </c>
      <c r="C31" s="26"/>
      <c r="D31" s="26"/>
      <c r="E31" s="26"/>
      <c r="F31"/>
      <c r="G31" s="26"/>
      <c r="H31" s="26"/>
      <c r="I31" s="26"/>
      <c r="J31" s="26"/>
      <c r="K31"/>
      <c r="L31" s="26"/>
      <c r="M31" s="26"/>
      <c r="N31" s="26"/>
      <c r="O31" s="26"/>
      <c r="P31"/>
      <c r="Q31" s="26"/>
      <c r="R31" s="26"/>
      <c r="S31" s="26"/>
      <c r="T31" s="26"/>
      <c r="U31"/>
      <c r="V31" s="26"/>
      <c r="W31" s="26"/>
      <c r="X31" s="26"/>
      <c r="Y31" s="26"/>
      <c r="Z31" s="26"/>
      <c r="AA31"/>
      <c r="AB31" s="26"/>
      <c r="AC31" s="26"/>
      <c r="AD31" s="26"/>
      <c r="AE31" s="26"/>
      <c r="AF31" s="26"/>
    </row>
    <row r="32" spans="1:32" s="43" customFormat="1" x14ac:dyDescent="0.25">
      <c r="A32" s="40"/>
      <c r="B32" s="41" t="s">
        <v>28</v>
      </c>
      <c r="C32" s="34">
        <v>20000</v>
      </c>
      <c r="D32" s="37">
        <v>0</v>
      </c>
      <c r="E32" s="38"/>
      <c r="F32"/>
      <c r="G32" s="34"/>
      <c r="H32" s="35"/>
      <c r="I32" s="37"/>
      <c r="J32" s="42"/>
      <c r="K32"/>
      <c r="L32" s="34"/>
      <c r="M32" s="35"/>
      <c r="N32" s="37"/>
      <c r="O32" s="42"/>
      <c r="P32"/>
      <c r="Q32" s="34"/>
      <c r="R32" s="35">
        <v>0</v>
      </c>
      <c r="S32" s="37"/>
      <c r="T32" s="42"/>
      <c r="U32"/>
      <c r="V32" s="34"/>
      <c r="W32" s="35">
        <v>0</v>
      </c>
      <c r="X32" s="182">
        <v>0</v>
      </c>
      <c r="Y32" s="37">
        <v>0</v>
      </c>
      <c r="Z32" s="42"/>
      <c r="AA32"/>
      <c r="AB32" s="34"/>
      <c r="AC32" s="182">
        <f>D32+I32+N32+S32+X32</f>
        <v>0</v>
      </c>
      <c r="AD32" s="37">
        <f t="shared" ref="AD32:AD37" si="6">+D32+I32+N32+S32+Y32</f>
        <v>0</v>
      </c>
      <c r="AE32" s="42"/>
      <c r="AF32" s="42"/>
    </row>
    <row r="33" spans="1:32" s="43" customFormat="1" x14ac:dyDescent="0.25">
      <c r="A33" s="40"/>
      <c r="B33" s="41" t="s">
        <v>29</v>
      </c>
      <c r="C33" s="34">
        <v>15000</v>
      </c>
      <c r="D33" s="37">
        <v>0</v>
      </c>
      <c r="E33" s="38"/>
      <c r="F33"/>
      <c r="G33" s="34"/>
      <c r="H33" s="35"/>
      <c r="I33" s="37"/>
      <c r="J33" s="42"/>
      <c r="K33"/>
      <c r="L33" s="34"/>
      <c r="M33" s="35"/>
      <c r="N33" s="37"/>
      <c r="O33" s="42"/>
      <c r="P33"/>
      <c r="Q33" s="34"/>
      <c r="R33" s="35">
        <v>0</v>
      </c>
      <c r="S33" s="37"/>
      <c r="T33" s="42"/>
      <c r="U33"/>
      <c r="V33" s="34"/>
      <c r="W33" s="35">
        <v>0</v>
      </c>
      <c r="X33" s="182">
        <v>0</v>
      </c>
      <c r="Y33" s="37">
        <v>0</v>
      </c>
      <c r="Z33" s="42"/>
      <c r="AA33"/>
      <c r="AB33" s="34"/>
      <c r="AC33" s="182">
        <f>D33+I33+N33+S33+X33</f>
        <v>0</v>
      </c>
      <c r="AD33" s="37">
        <f t="shared" si="6"/>
        <v>0</v>
      </c>
      <c r="AE33" s="42"/>
      <c r="AF33" s="42"/>
    </row>
    <row r="34" spans="1:32" s="43" customFormat="1" x14ac:dyDescent="0.25">
      <c r="A34" s="40"/>
      <c r="B34" s="41" t="s">
        <v>16</v>
      </c>
      <c r="C34" s="34">
        <v>15000</v>
      </c>
      <c r="D34" s="37">
        <v>0</v>
      </c>
      <c r="E34" s="38"/>
      <c r="F34"/>
      <c r="G34" s="34"/>
      <c r="H34" s="35"/>
      <c r="I34" s="37"/>
      <c r="J34" s="42"/>
      <c r="K34"/>
      <c r="L34" s="34"/>
      <c r="M34" s="35"/>
      <c r="N34" s="37"/>
      <c r="O34" s="42"/>
      <c r="P34"/>
      <c r="Q34" s="34"/>
      <c r="R34" s="35">
        <v>0</v>
      </c>
      <c r="S34" s="37"/>
      <c r="T34" s="42"/>
      <c r="U34"/>
      <c r="V34" s="34"/>
      <c r="W34" s="35">
        <v>0</v>
      </c>
      <c r="X34" s="182">
        <v>0</v>
      </c>
      <c r="Y34" s="37">
        <v>0</v>
      </c>
      <c r="Z34" s="42"/>
      <c r="AA34"/>
      <c r="AB34" s="34"/>
      <c r="AC34" s="182">
        <f>D34+I34+N34+S34+X34</f>
        <v>0</v>
      </c>
      <c r="AD34" s="37">
        <f t="shared" si="6"/>
        <v>0</v>
      </c>
      <c r="AE34" s="42"/>
      <c r="AF34" s="42"/>
    </row>
    <row r="35" spans="1:32" s="43" customFormat="1" x14ac:dyDescent="0.25">
      <c r="A35" s="40"/>
      <c r="B35" s="41" t="s">
        <v>17</v>
      </c>
      <c r="C35" s="34">
        <v>8000</v>
      </c>
      <c r="D35" s="37">
        <v>0</v>
      </c>
      <c r="E35" s="38"/>
      <c r="F35"/>
      <c r="G35" s="34"/>
      <c r="H35" s="35"/>
      <c r="I35" s="37"/>
      <c r="J35" s="42"/>
      <c r="K35"/>
      <c r="L35" s="34"/>
      <c r="M35" s="35"/>
      <c r="N35" s="37"/>
      <c r="O35" s="42"/>
      <c r="P35"/>
      <c r="Q35" s="34"/>
      <c r="R35" s="35">
        <v>0</v>
      </c>
      <c r="S35" s="37"/>
      <c r="T35" s="42"/>
      <c r="U35"/>
      <c r="V35" s="34"/>
      <c r="W35" s="35">
        <v>0</v>
      </c>
      <c r="X35" s="182">
        <v>0</v>
      </c>
      <c r="Y35" s="37">
        <v>0</v>
      </c>
      <c r="Z35" s="42"/>
      <c r="AA35"/>
      <c r="AB35" s="34"/>
      <c r="AC35" s="182">
        <f>D35+I35+N35+S35+X35</f>
        <v>0</v>
      </c>
      <c r="AD35" s="37">
        <f t="shared" si="6"/>
        <v>0</v>
      </c>
      <c r="AE35" s="42"/>
      <c r="AF35" s="42"/>
    </row>
    <row r="36" spans="1:32" s="43" customFormat="1" x14ac:dyDescent="0.25">
      <c r="A36" s="40"/>
      <c r="B36" s="44" t="s">
        <v>19</v>
      </c>
      <c r="C36" s="46">
        <f>SUM(C32:C35)</f>
        <v>58000</v>
      </c>
      <c r="D36" s="49">
        <f>SUM(D32:D35)</f>
        <v>0</v>
      </c>
      <c r="E36" s="50">
        <f>+C36-D36</f>
        <v>58000</v>
      </c>
      <c r="F36"/>
      <c r="G36" s="46">
        <v>58000</v>
      </c>
      <c r="H36" s="47">
        <f>SUM(H32:H35)</f>
        <v>0</v>
      </c>
      <c r="I36" s="49">
        <f>SUM(I32:I35)</f>
        <v>0</v>
      </c>
      <c r="J36" s="50">
        <f>+G36-I36</f>
        <v>58000</v>
      </c>
      <c r="K36"/>
      <c r="L36" s="46">
        <v>58000</v>
      </c>
      <c r="M36" s="47">
        <f>SUM(M32:M35)</f>
        <v>0</v>
      </c>
      <c r="N36" s="49"/>
      <c r="O36" s="50">
        <f>+M36-N36</f>
        <v>0</v>
      </c>
      <c r="P36"/>
      <c r="Q36" s="46">
        <v>58000</v>
      </c>
      <c r="R36" s="47">
        <f>SUM(R32:R35)</f>
        <v>0</v>
      </c>
      <c r="S36" s="49"/>
      <c r="T36" s="50">
        <f>+R36-S36</f>
        <v>0</v>
      </c>
      <c r="U36"/>
      <c r="V36" s="46">
        <v>58000</v>
      </c>
      <c r="W36" s="47">
        <v>0</v>
      </c>
      <c r="X36" s="183">
        <v>0</v>
      </c>
      <c r="Y36" s="37">
        <v>0</v>
      </c>
      <c r="Z36" s="50"/>
      <c r="AA36"/>
      <c r="AB36" s="46">
        <f>+C36+G36+L36+Q36+V36</f>
        <v>290000</v>
      </c>
      <c r="AC36" s="183">
        <f>D36+I36+N36+S36+W36</f>
        <v>0</v>
      </c>
      <c r="AD36" s="37">
        <f t="shared" si="6"/>
        <v>0</v>
      </c>
      <c r="AE36" s="50"/>
      <c r="AF36" s="50"/>
    </row>
    <row r="37" spans="1:32" s="43" customFormat="1" x14ac:dyDescent="0.25">
      <c r="A37" s="40"/>
      <c r="B37" s="41" t="s">
        <v>20</v>
      </c>
      <c r="C37" s="34">
        <v>23280</v>
      </c>
      <c r="D37" s="37">
        <v>12000</v>
      </c>
      <c r="E37" s="42"/>
      <c r="F37"/>
      <c r="G37" s="34">
        <f>C37</f>
        <v>23280</v>
      </c>
      <c r="H37" s="35"/>
      <c r="I37" s="37"/>
      <c r="J37" s="42"/>
      <c r="K37"/>
      <c r="L37" s="34">
        <f>G37</f>
        <v>23280</v>
      </c>
      <c r="M37" s="35"/>
      <c r="N37" s="37"/>
      <c r="O37" s="42"/>
      <c r="P37"/>
      <c r="Q37" s="34">
        <f>L37</f>
        <v>23280</v>
      </c>
      <c r="R37" s="35">
        <v>0</v>
      </c>
      <c r="S37" s="37"/>
      <c r="T37" s="42"/>
      <c r="U37"/>
      <c r="V37" s="34">
        <f>Q37</f>
        <v>23280</v>
      </c>
      <c r="W37" s="35">
        <v>0</v>
      </c>
      <c r="X37" s="182">
        <v>0</v>
      </c>
      <c r="Y37" s="37">
        <v>0</v>
      </c>
      <c r="Z37" s="42"/>
      <c r="AA37"/>
      <c r="AB37" s="34">
        <f>+C37+G37+L37+Q37+V37</f>
        <v>116400</v>
      </c>
      <c r="AC37" s="182">
        <f>D37+I37+N37+S37+X37</f>
        <v>12000</v>
      </c>
      <c r="AD37" s="37">
        <f t="shared" si="6"/>
        <v>12000</v>
      </c>
      <c r="AE37" s="42"/>
      <c r="AF37" s="42"/>
    </row>
    <row r="38" spans="1:32" s="43" customFormat="1" ht="18.75" x14ac:dyDescent="0.3">
      <c r="A38" s="40"/>
      <c r="B38" s="44" t="s">
        <v>21</v>
      </c>
      <c r="C38" s="53">
        <f>C36+C37</f>
        <v>81280</v>
      </c>
      <c r="D38" s="56">
        <f>D36+D37</f>
        <v>12000</v>
      </c>
      <c r="E38" s="50">
        <f>+C38-D38</f>
        <v>69280</v>
      </c>
      <c r="F38"/>
      <c r="G38" s="53">
        <f>G36+G37</f>
        <v>81280</v>
      </c>
      <c r="H38" s="54">
        <f>H36+H37</f>
        <v>0</v>
      </c>
      <c r="I38" s="56">
        <f>I36+I37</f>
        <v>0</v>
      </c>
      <c r="J38" s="50">
        <f>+G38-I38</f>
        <v>81280</v>
      </c>
      <c r="K38"/>
      <c r="L38" s="53">
        <f>L36+L37</f>
        <v>81280</v>
      </c>
      <c r="M38" s="54">
        <f>M36+M37</f>
        <v>0</v>
      </c>
      <c r="N38" s="56"/>
      <c r="O38" s="50">
        <f>+M38-N38</f>
        <v>0</v>
      </c>
      <c r="P38"/>
      <c r="Q38" s="53">
        <f>Q36+Q37</f>
        <v>81280</v>
      </c>
      <c r="R38" s="54">
        <f>R36+R37</f>
        <v>0</v>
      </c>
      <c r="S38" s="56">
        <v>0</v>
      </c>
      <c r="T38" s="50">
        <f>+R38-S38</f>
        <v>0</v>
      </c>
      <c r="U38"/>
      <c r="V38" s="53">
        <f>V36+V37</f>
        <v>81280</v>
      </c>
      <c r="W38" s="54">
        <v>0</v>
      </c>
      <c r="X38" s="184">
        <v>0</v>
      </c>
      <c r="Y38" s="37">
        <v>0</v>
      </c>
      <c r="Z38" s="185">
        <f>V38-W38</f>
        <v>81280</v>
      </c>
      <c r="AA38"/>
      <c r="AB38" s="53">
        <f>AB36+AB37</f>
        <v>406400</v>
      </c>
      <c r="AC38" s="183">
        <f>AC37</f>
        <v>12000</v>
      </c>
      <c r="AD38" s="56">
        <f>+D38+I38+N38</f>
        <v>12000</v>
      </c>
      <c r="AE38" s="50">
        <f>+AC38-AD38</f>
        <v>0</v>
      </c>
      <c r="AF38" s="186">
        <f>AE38/AB38</f>
        <v>0</v>
      </c>
    </row>
    <row r="39" spans="1:32" s="76" customFormat="1" ht="18.75" x14ac:dyDescent="0.3">
      <c r="A39" s="67"/>
      <c r="B39" s="67"/>
      <c r="C39" s="69"/>
      <c r="D39" s="72"/>
      <c r="E39" s="67"/>
      <c r="F39"/>
      <c r="G39" s="69"/>
      <c r="H39" s="70"/>
      <c r="I39" s="72"/>
      <c r="J39" s="67"/>
      <c r="K39"/>
      <c r="L39" s="69"/>
      <c r="M39" s="70"/>
      <c r="N39" s="72"/>
      <c r="O39" s="67"/>
      <c r="P39"/>
      <c r="Q39" s="69"/>
      <c r="R39" s="70"/>
      <c r="S39" s="72"/>
      <c r="T39" s="67"/>
      <c r="U39"/>
      <c r="V39" s="69"/>
      <c r="W39" s="70"/>
      <c r="X39" s="188"/>
      <c r="Y39" s="72"/>
      <c r="Z39" s="67"/>
      <c r="AA39"/>
      <c r="AB39" s="69"/>
      <c r="AC39" s="188"/>
      <c r="AD39" s="72"/>
      <c r="AE39" s="67"/>
      <c r="AF39" s="67"/>
    </row>
    <row r="40" spans="1:32" s="52" customFormat="1" x14ac:dyDescent="0.25">
      <c r="A40" s="24" t="s">
        <v>30</v>
      </c>
      <c r="B40" s="25" t="s">
        <v>31</v>
      </c>
      <c r="C40" s="26"/>
      <c r="D40" s="26"/>
      <c r="E40" s="26"/>
      <c r="F40"/>
      <c r="G40" s="26"/>
      <c r="H40" s="26"/>
      <c r="I40" s="26"/>
      <c r="J40" s="26"/>
      <c r="K40"/>
      <c r="L40" s="26"/>
      <c r="M40" s="26"/>
      <c r="N40" s="26"/>
      <c r="O40" s="26"/>
      <c r="P40"/>
      <c r="Q40" s="26"/>
      <c r="R40" s="26"/>
      <c r="S40" s="26"/>
      <c r="T40" s="26"/>
      <c r="U40"/>
      <c r="V40" s="26"/>
      <c r="W40" s="26"/>
      <c r="X40" s="26"/>
      <c r="Y40" s="26"/>
      <c r="Z40" s="26"/>
      <c r="AA40"/>
      <c r="AB40" s="26"/>
      <c r="AC40" s="26"/>
      <c r="AD40" s="26"/>
      <c r="AE40" s="26"/>
      <c r="AF40" s="26"/>
    </row>
    <row r="41" spans="1:32" s="43" customFormat="1" ht="18" customHeight="1" x14ac:dyDescent="0.25">
      <c r="A41" s="40"/>
      <c r="B41" s="41" t="s">
        <v>11</v>
      </c>
      <c r="C41" s="34">
        <v>23410.332203389829</v>
      </c>
      <c r="D41" s="37">
        <v>34399.666666666664</v>
      </c>
      <c r="E41" s="42"/>
      <c r="F41"/>
      <c r="G41" s="34">
        <v>24823.396721311477</v>
      </c>
      <c r="H41" s="35">
        <v>16498.44478039804</v>
      </c>
      <c r="I41" s="37">
        <v>6476.9332138774971</v>
      </c>
      <c r="J41" s="42"/>
      <c r="K41"/>
      <c r="L41" s="34">
        <v>24823.396721311477</v>
      </c>
      <c r="M41" s="35">
        <v>74204.714138409414</v>
      </c>
      <c r="N41" s="37">
        <v>22708.250921139235</v>
      </c>
      <c r="O41" s="42"/>
      <c r="P41"/>
      <c r="Q41" s="34">
        <v>24823.396721311477</v>
      </c>
      <c r="R41" s="35">
        <v>93676.429552951799</v>
      </c>
      <c r="S41" s="37">
        <v>76588.302156912425</v>
      </c>
      <c r="T41" s="42"/>
      <c r="U41"/>
      <c r="V41" s="34">
        <v>24823.396721311477</v>
      </c>
      <c r="W41" s="35">
        <v>89063.993639824126</v>
      </c>
      <c r="X41" s="182">
        <v>80123.98465086511</v>
      </c>
      <c r="Y41" s="37">
        <v>67354.230481088511</v>
      </c>
      <c r="Z41" s="42"/>
      <c r="AA41"/>
      <c r="AB41" s="34">
        <f t="shared" ref="AB41:AB47" si="7">+C41+G41+L41+Q41+V41</f>
        <v>122703.91908863575</v>
      </c>
      <c r="AC41" s="182">
        <f t="shared" ref="AC41:AC47" si="8">D41+I41+N41+S41+X41</f>
        <v>220297.13760946094</v>
      </c>
      <c r="AD41" s="37">
        <f t="shared" ref="AD41:AD47" si="9">+D41+I41+N41+S41+Y41</f>
        <v>207527.38343968434</v>
      </c>
      <c r="AE41" s="42"/>
      <c r="AF41" s="42"/>
    </row>
    <row r="42" spans="1:32" s="43" customFormat="1" x14ac:dyDescent="0.25">
      <c r="A42" s="40"/>
      <c r="B42" s="41" t="s">
        <v>13</v>
      </c>
      <c r="C42" s="34">
        <v>82873.70847457627</v>
      </c>
      <c r="D42" s="37">
        <v>97819.666666666672</v>
      </c>
      <c r="E42" s="42"/>
      <c r="F42"/>
      <c r="G42" s="34">
        <v>79888.367213114747</v>
      </c>
      <c r="H42" s="35">
        <v>131100.99455646236</v>
      </c>
      <c r="I42" s="37">
        <v>56683.893319858449</v>
      </c>
      <c r="J42" s="42"/>
      <c r="K42"/>
      <c r="L42" s="34">
        <v>79888.367213114747</v>
      </c>
      <c r="M42" s="35">
        <v>118941.76434228677</v>
      </c>
      <c r="N42" s="37">
        <v>156936.34451387989</v>
      </c>
      <c r="O42" s="42"/>
      <c r="P42"/>
      <c r="Q42" s="34">
        <v>79888.367213114747</v>
      </c>
      <c r="R42" s="35">
        <v>124219.02013932138</v>
      </c>
      <c r="S42" s="37">
        <v>95366.212380705183</v>
      </c>
      <c r="T42" s="42"/>
      <c r="U42"/>
      <c r="V42" s="34">
        <v>79888.367213114747</v>
      </c>
      <c r="W42" s="35">
        <v>101378.33631859132</v>
      </c>
      <c r="X42" s="182">
        <v>96020.022875510389</v>
      </c>
      <c r="Y42" s="37">
        <v>79605.598236170554</v>
      </c>
      <c r="Z42" s="42"/>
      <c r="AA42"/>
      <c r="AB42" s="34">
        <f t="shared" si="7"/>
        <v>402427.17732703523</v>
      </c>
      <c r="AC42" s="182">
        <f t="shared" si="8"/>
        <v>502826.13975662057</v>
      </c>
      <c r="AD42" s="37">
        <f t="shared" si="9"/>
        <v>486411.71511728072</v>
      </c>
      <c r="AE42" s="42"/>
      <c r="AF42" s="42"/>
    </row>
    <row r="43" spans="1:32" s="43" customFormat="1" x14ac:dyDescent="0.25">
      <c r="A43" s="40"/>
      <c r="B43" s="41" t="s">
        <v>14</v>
      </c>
      <c r="C43" s="34">
        <v>42529.518644067794</v>
      </c>
      <c r="D43" s="37">
        <v>18866.666666666664</v>
      </c>
      <c r="E43" s="42"/>
      <c r="F43"/>
      <c r="G43" s="34">
        <v>42501.350819672123</v>
      </c>
      <c r="H43" s="35">
        <v>13286.881759377849</v>
      </c>
      <c r="I43" s="37">
        <v>6057.7145090680369</v>
      </c>
      <c r="J43" s="42"/>
      <c r="K43"/>
      <c r="L43" s="34">
        <v>42501.350819672123</v>
      </c>
      <c r="M43" s="35">
        <v>13405.388127799863</v>
      </c>
      <c r="N43" s="37">
        <v>12086.275162707603</v>
      </c>
      <c r="O43" s="42"/>
      <c r="P43"/>
      <c r="Q43" s="34">
        <v>42501.350819672123</v>
      </c>
      <c r="R43" s="35">
        <v>10683.429044129152</v>
      </c>
      <c r="S43" s="37">
        <v>3135.3858513554428</v>
      </c>
      <c r="T43" s="42"/>
      <c r="U43"/>
      <c r="V43" s="34">
        <v>42501.350819672123</v>
      </c>
      <c r="W43" s="35">
        <v>9159.0266566473256</v>
      </c>
      <c r="X43" s="182">
        <v>8593.5446013138371</v>
      </c>
      <c r="Y43" s="37">
        <v>1666.6661242742807</v>
      </c>
      <c r="Z43" s="42"/>
      <c r="AA43"/>
      <c r="AB43" s="34">
        <f t="shared" si="7"/>
        <v>212534.9219227563</v>
      </c>
      <c r="AC43" s="182">
        <f t="shared" si="8"/>
        <v>48739.586791111586</v>
      </c>
      <c r="AD43" s="37">
        <f t="shared" si="9"/>
        <v>41812.708314072028</v>
      </c>
      <c r="AE43" s="42"/>
      <c r="AF43" s="42"/>
    </row>
    <row r="44" spans="1:32" s="43" customFormat="1" x14ac:dyDescent="0.25">
      <c r="A44" s="40"/>
      <c r="B44" s="41" t="s">
        <v>15</v>
      </c>
      <c r="C44" s="34">
        <v>0</v>
      </c>
      <c r="D44" s="37">
        <v>0</v>
      </c>
      <c r="E44" s="42"/>
      <c r="F44"/>
      <c r="G44" s="34">
        <v>0</v>
      </c>
      <c r="H44" s="35">
        <v>7010.3381893550213</v>
      </c>
      <c r="I44" s="37">
        <v>3190.5205264927099</v>
      </c>
      <c r="J44" s="42"/>
      <c r="K44"/>
      <c r="L44" s="34">
        <v>0</v>
      </c>
      <c r="M44" s="35">
        <v>11260.637911028502</v>
      </c>
      <c r="N44" s="37">
        <v>10688.391605015309</v>
      </c>
      <c r="O44" s="42"/>
      <c r="P44"/>
      <c r="Q44" s="34">
        <v>0</v>
      </c>
      <c r="R44" s="35">
        <v>11941.039472781833</v>
      </c>
      <c r="S44" s="37">
        <v>12305.50196053726</v>
      </c>
      <c r="T44" s="42"/>
      <c r="U44"/>
      <c r="V44" s="34">
        <v>0</v>
      </c>
      <c r="W44" s="35">
        <v>7522.9438910286844</v>
      </c>
      <c r="X44" s="182">
        <v>7380.8079636098082</v>
      </c>
      <c r="Y44" s="37">
        <v>6956.4449240542763</v>
      </c>
      <c r="Z44" s="42"/>
      <c r="AA44"/>
      <c r="AB44" s="34">
        <f t="shared" si="7"/>
        <v>0</v>
      </c>
      <c r="AC44" s="182">
        <f t="shared" si="8"/>
        <v>33565.222055655089</v>
      </c>
      <c r="AD44" s="37">
        <f t="shared" si="9"/>
        <v>33140.859016099552</v>
      </c>
      <c r="AE44" s="42"/>
      <c r="AF44" s="42"/>
    </row>
    <row r="45" spans="1:32" s="43" customFormat="1" x14ac:dyDescent="0.25">
      <c r="A45" s="40"/>
      <c r="B45" s="41" t="s">
        <v>16</v>
      </c>
      <c r="C45" s="34">
        <v>13423.254237288136</v>
      </c>
      <c r="D45" s="37">
        <v>12081</v>
      </c>
      <c r="E45" s="42"/>
      <c r="F45"/>
      <c r="G45" s="34">
        <v>15606.622950819672</v>
      </c>
      <c r="H45" s="35">
        <v>14800</v>
      </c>
      <c r="I45" s="37">
        <v>1511.0531721807129</v>
      </c>
      <c r="J45" s="42"/>
      <c r="K45"/>
      <c r="L45" s="34">
        <v>14557.442622950819</v>
      </c>
      <c r="M45" s="35">
        <v>14557.442622950819</v>
      </c>
      <c r="N45" s="37">
        <v>2790.87</v>
      </c>
      <c r="O45" s="42"/>
      <c r="P45"/>
      <c r="Q45" s="34">
        <v>15606.622950819672</v>
      </c>
      <c r="R45" s="35">
        <v>6000</v>
      </c>
      <c r="S45" s="37">
        <v>1194.7999999999997</v>
      </c>
      <c r="T45" s="42"/>
      <c r="U45"/>
      <c r="V45" s="34">
        <v>16262.360655737704</v>
      </c>
      <c r="W45" s="35">
        <v>6000</v>
      </c>
      <c r="X45" s="182">
        <v>2600</v>
      </c>
      <c r="Y45" s="37">
        <v>57.730000000000018</v>
      </c>
      <c r="Z45" s="42"/>
      <c r="AA45"/>
      <c r="AB45" s="34">
        <f t="shared" si="7"/>
        <v>75456.303417616</v>
      </c>
      <c r="AC45" s="182">
        <f t="shared" si="8"/>
        <v>20177.723172180711</v>
      </c>
      <c r="AD45" s="37">
        <f t="shared" si="9"/>
        <v>17635.453172180711</v>
      </c>
      <c r="AE45" s="42"/>
      <c r="AF45" s="42"/>
    </row>
    <row r="46" spans="1:32" s="43" customFormat="1" x14ac:dyDescent="0.25">
      <c r="A46" s="40"/>
      <c r="B46" s="41" t="s">
        <v>17</v>
      </c>
      <c r="C46" s="34">
        <v>19000</v>
      </c>
      <c r="D46" s="37">
        <v>0</v>
      </c>
      <c r="E46" s="42"/>
      <c r="F46"/>
      <c r="G46" s="34">
        <v>19000</v>
      </c>
      <c r="H46" s="35">
        <v>2700</v>
      </c>
      <c r="I46" s="37">
        <v>2986.4974926707432</v>
      </c>
      <c r="J46" s="42"/>
      <c r="K46"/>
      <c r="L46" s="34">
        <v>19000</v>
      </c>
      <c r="M46" s="35">
        <v>8968.6950169815245</v>
      </c>
      <c r="N46" s="37">
        <v>10506.734491845411</v>
      </c>
      <c r="O46" s="42"/>
      <c r="P46"/>
      <c r="Q46" s="34">
        <v>19000</v>
      </c>
      <c r="R46" s="35">
        <v>1241.4917074106031</v>
      </c>
      <c r="S46" s="37">
        <v>1243.0725537204094</v>
      </c>
      <c r="T46" s="42"/>
      <c r="U46"/>
      <c r="V46" s="34">
        <v>19000</v>
      </c>
      <c r="W46" s="35">
        <v>611.29385964912274</v>
      </c>
      <c r="X46" s="182">
        <v>589.59403107569278</v>
      </c>
      <c r="Y46" s="37">
        <v>0</v>
      </c>
      <c r="Z46" s="42"/>
      <c r="AA46"/>
      <c r="AB46" s="34">
        <f t="shared" si="7"/>
        <v>95000</v>
      </c>
      <c r="AC46" s="182">
        <f t="shared" si="8"/>
        <v>15325.898569312256</v>
      </c>
      <c r="AD46" s="37">
        <f t="shared" si="9"/>
        <v>14736.304538236564</v>
      </c>
      <c r="AE46" s="42"/>
      <c r="AF46" s="42"/>
    </row>
    <row r="47" spans="1:32" s="43" customFormat="1" x14ac:dyDescent="0.25">
      <c r="A47" s="40"/>
      <c r="B47" s="41" t="s">
        <v>18</v>
      </c>
      <c r="C47" s="77">
        <v>37762.711864406767</v>
      </c>
      <c r="D47" s="37">
        <v>7234</v>
      </c>
      <c r="E47" s="42"/>
      <c r="F47"/>
      <c r="G47" s="77">
        <v>37180.327868852459</v>
      </c>
      <c r="H47" s="35">
        <v>11449.578052734685</v>
      </c>
      <c r="I47" s="37">
        <v>59718.147765851863</v>
      </c>
      <c r="J47" s="78"/>
      <c r="K47"/>
      <c r="L47" s="77">
        <v>38229.508196721305</v>
      </c>
      <c r="M47" s="35">
        <v>14042.563851485733</v>
      </c>
      <c r="N47" s="37">
        <v>14992.823305412552</v>
      </c>
      <c r="O47" s="78"/>
      <c r="P47"/>
      <c r="Q47" s="77">
        <v>37180.327868852452</v>
      </c>
      <c r="R47" s="35">
        <v>17238.590083405234</v>
      </c>
      <c r="S47" s="37">
        <v>14383.615096769287</v>
      </c>
      <c r="T47" s="78"/>
      <c r="U47"/>
      <c r="V47" s="77">
        <v>36524.590163934423</v>
      </c>
      <c r="W47" s="35">
        <v>15264.405634259387</v>
      </c>
      <c r="X47" s="182">
        <v>14722.546787961057</v>
      </c>
      <c r="Y47" s="37">
        <v>14685.060234412404</v>
      </c>
      <c r="Z47" s="42"/>
      <c r="AA47"/>
      <c r="AB47" s="34">
        <f t="shared" si="7"/>
        <v>186877.4659627674</v>
      </c>
      <c r="AC47" s="182">
        <f t="shared" si="8"/>
        <v>111051.13295599475</v>
      </c>
      <c r="AD47" s="37">
        <f t="shared" si="9"/>
        <v>111013.6464024461</v>
      </c>
      <c r="AE47" s="78"/>
      <c r="AF47" s="78"/>
    </row>
    <row r="48" spans="1:32" s="43" customFormat="1" x14ac:dyDescent="0.25">
      <c r="A48" s="40"/>
      <c r="B48" s="44" t="s">
        <v>19</v>
      </c>
      <c r="C48" s="46">
        <f>SUM(C41:C47)</f>
        <v>218999.5254237288</v>
      </c>
      <c r="D48" s="49">
        <f>SUM(D41:D47)</f>
        <v>170401</v>
      </c>
      <c r="E48" s="50">
        <f>+C48-D48</f>
        <v>48598.525423728803</v>
      </c>
      <c r="F48"/>
      <c r="G48" s="46">
        <f>SUM(G41:G47)</f>
        <v>219000.06557377049</v>
      </c>
      <c r="H48" s="47">
        <f>SUM(H41:H47)</f>
        <v>196846.23733832795</v>
      </c>
      <c r="I48" s="49">
        <f>SUM(I41:I47)</f>
        <v>136624.76</v>
      </c>
      <c r="J48" s="50">
        <f>+G48-I48</f>
        <v>82375.305573770485</v>
      </c>
      <c r="K48"/>
      <c r="L48" s="46">
        <f>SUM(L41:L47)</f>
        <v>219000.06557377049</v>
      </c>
      <c r="M48" s="47">
        <f>SUM(M41:M47)</f>
        <v>255381.20601094264</v>
      </c>
      <c r="N48" s="49">
        <v>230709.69</v>
      </c>
      <c r="O48" s="50">
        <f>+M48-N48</f>
        <v>24671.516010942636</v>
      </c>
      <c r="P48"/>
      <c r="Q48" s="46">
        <f>SUM(Q41:Q47)</f>
        <v>219000.06557377047</v>
      </c>
      <c r="R48" s="47">
        <f>SUM(R41:R47)</f>
        <v>265000</v>
      </c>
      <c r="S48" s="49">
        <f>SUM(S41:S47)</f>
        <v>204216.89</v>
      </c>
      <c r="T48" s="50">
        <f>+R48-S48</f>
        <v>60783.109999999986</v>
      </c>
      <c r="U48"/>
      <c r="V48" s="46">
        <f>SUM(V41:V47)</f>
        <v>219000.06557377047</v>
      </c>
      <c r="W48" s="47">
        <f>SUM(W41:W47)</f>
        <v>228999.99999999997</v>
      </c>
      <c r="X48" s="183">
        <f>SUM(X41:X47)</f>
        <v>210030.50091033589</v>
      </c>
      <c r="Y48" s="49">
        <v>170325.73000000004</v>
      </c>
      <c r="Z48" s="50"/>
      <c r="AA48"/>
      <c r="AB48" s="46">
        <f>SUM(AB41:AB47)</f>
        <v>1094999.7877188106</v>
      </c>
      <c r="AC48" s="183">
        <f>SUM(AC41:AC47)</f>
        <v>951982.840910336</v>
      </c>
      <c r="AD48" s="49">
        <f>SUM(AD41:AD47)</f>
        <v>912278.07000000007</v>
      </c>
      <c r="AE48" s="50"/>
      <c r="AF48" s="50"/>
    </row>
    <row r="49" spans="1:32" s="43" customFormat="1" x14ac:dyDescent="0.25">
      <c r="A49" s="40"/>
      <c r="B49" s="41" t="s">
        <v>20</v>
      </c>
      <c r="C49" s="34">
        <v>30880</v>
      </c>
      <c r="D49" s="37">
        <v>30880</v>
      </c>
      <c r="E49" s="42"/>
      <c r="F49"/>
      <c r="G49" s="34">
        <f>C49</f>
        <v>30880</v>
      </c>
      <c r="H49" s="35">
        <v>31806.400000000001</v>
      </c>
      <c r="I49" s="37">
        <v>34852.5</v>
      </c>
      <c r="J49" s="42"/>
      <c r="K49"/>
      <c r="L49" s="34">
        <f>G49</f>
        <v>30880</v>
      </c>
      <c r="M49" s="35">
        <v>30880</v>
      </c>
      <c r="N49" s="37">
        <v>60264</v>
      </c>
      <c r="O49" s="42"/>
      <c r="P49"/>
      <c r="Q49" s="34">
        <f>L49</f>
        <v>30880</v>
      </c>
      <c r="R49" s="35">
        <v>47361.200000000004</v>
      </c>
      <c r="S49" s="37">
        <v>36031.200000000004</v>
      </c>
      <c r="T49" s="42"/>
      <c r="U49"/>
      <c r="V49" s="34">
        <f>Q49</f>
        <v>30880</v>
      </c>
      <c r="W49" s="35">
        <v>35094.442105263159</v>
      </c>
      <c r="X49" s="182">
        <v>44761</v>
      </c>
      <c r="Y49" s="37">
        <v>28392.799999999999</v>
      </c>
      <c r="Z49" s="42"/>
      <c r="AA49"/>
      <c r="AB49" s="34">
        <f>+C49+G49+L49+Q49+V49</f>
        <v>154400</v>
      </c>
      <c r="AC49" s="182">
        <f>D49+I49+N49+S49+X49</f>
        <v>206788.7</v>
      </c>
      <c r="AD49" s="37">
        <f>+D49+I49+N49+S49+Y49</f>
        <v>190420.5</v>
      </c>
      <c r="AE49" s="42"/>
      <c r="AF49" s="42"/>
    </row>
    <row r="50" spans="1:32" s="43" customFormat="1" ht="18.75" x14ac:dyDescent="0.3">
      <c r="A50" s="40"/>
      <c r="B50" s="44" t="s">
        <v>21</v>
      </c>
      <c r="C50" s="53">
        <f>C48+C49</f>
        <v>249879.5254237288</v>
      </c>
      <c r="D50" s="56">
        <f>D48+D49</f>
        <v>201281</v>
      </c>
      <c r="E50" s="50">
        <f>+C50-D50</f>
        <v>48598.525423728803</v>
      </c>
      <c r="F50"/>
      <c r="G50" s="53">
        <f>G48+G49</f>
        <v>249880.06557377049</v>
      </c>
      <c r="H50" s="54">
        <f>H48+H49</f>
        <v>228652.63733832794</v>
      </c>
      <c r="I50" s="56">
        <f>I48+I49</f>
        <v>171477.26</v>
      </c>
      <c r="J50" s="50">
        <f>+G50-I50</f>
        <v>78402.805573770485</v>
      </c>
      <c r="K50"/>
      <c r="L50" s="53">
        <f>L48+L49</f>
        <v>249880.06557377049</v>
      </c>
      <c r="M50" s="54">
        <f>M48+M49</f>
        <v>286261.20601094264</v>
      </c>
      <c r="N50" s="56">
        <f>N48+N49</f>
        <v>290973.69</v>
      </c>
      <c r="O50" s="50">
        <f>+M50-N50</f>
        <v>-4712.4839890573639</v>
      </c>
      <c r="P50"/>
      <c r="Q50" s="53">
        <f>Q48+Q49</f>
        <v>249880.06557377047</v>
      </c>
      <c r="R50" s="54">
        <f>R48+R49</f>
        <v>312361.2</v>
      </c>
      <c r="S50" s="56">
        <f>S48+S49</f>
        <v>240248.09000000003</v>
      </c>
      <c r="T50" s="50">
        <f>+R50-S50</f>
        <v>72113.109999999986</v>
      </c>
      <c r="U50"/>
      <c r="V50" s="53">
        <f>V48+V49</f>
        <v>249880.06557377047</v>
      </c>
      <c r="W50" s="54">
        <f>W48+W49</f>
        <v>264094.44210526312</v>
      </c>
      <c r="X50" s="184">
        <f>X48+X49</f>
        <v>254791.50091033589</v>
      </c>
      <c r="Y50" s="49">
        <v>198718.53000000003</v>
      </c>
      <c r="Z50" s="185">
        <f>V50-W50</f>
        <v>-14214.376531492657</v>
      </c>
      <c r="AA50"/>
      <c r="AB50" s="53">
        <f>AB48+AB49</f>
        <v>1249399.7877188106</v>
      </c>
      <c r="AC50" s="184">
        <f>AC48+AC49</f>
        <v>1158771.540910336</v>
      </c>
      <c r="AD50" s="56">
        <f>AD48+AD49</f>
        <v>1102698.57</v>
      </c>
      <c r="AE50" s="50">
        <f>+AC50-AD50</f>
        <v>56072.970910335891</v>
      </c>
      <c r="AF50" s="186">
        <f>AE50/AB50</f>
        <v>4.4879926714823208E-2</v>
      </c>
    </row>
    <row r="51" spans="1:32" s="76" customFormat="1" ht="18.75" x14ac:dyDescent="0.3">
      <c r="A51" s="67"/>
      <c r="B51" s="67"/>
      <c r="C51" s="69"/>
      <c r="D51" s="72"/>
      <c r="E51" s="67"/>
      <c r="F51"/>
      <c r="G51" s="69"/>
      <c r="H51" s="70"/>
      <c r="I51" s="72"/>
      <c r="J51" s="67"/>
      <c r="K51"/>
      <c r="L51" s="69"/>
      <c r="M51" s="70"/>
      <c r="N51" s="72"/>
      <c r="O51" s="67"/>
      <c r="P51"/>
      <c r="Q51" s="69"/>
      <c r="R51" s="70"/>
      <c r="S51" s="72"/>
      <c r="T51" s="67"/>
      <c r="U51"/>
      <c r="V51" s="69"/>
      <c r="W51" s="70"/>
      <c r="X51" s="188"/>
      <c r="Y51" s="72"/>
      <c r="Z51" s="67"/>
      <c r="AA51"/>
      <c r="AB51" s="69"/>
      <c r="AC51" s="188"/>
      <c r="AD51" s="72"/>
      <c r="AE51" s="67"/>
      <c r="AF51" s="67"/>
    </row>
    <row r="52" spans="1:32" s="43" customFormat="1" x14ac:dyDescent="0.25">
      <c r="A52" s="24" t="s">
        <v>33</v>
      </c>
      <c r="B52" s="25" t="s">
        <v>34</v>
      </c>
      <c r="C52" s="26"/>
      <c r="D52" s="26"/>
      <c r="E52" s="26"/>
      <c r="F52"/>
      <c r="G52" s="26"/>
      <c r="H52" s="26"/>
      <c r="I52" s="26"/>
      <c r="J52" s="26"/>
      <c r="K52"/>
      <c r="L52" s="26"/>
      <c r="M52" s="26"/>
      <c r="N52" s="26"/>
      <c r="O52" s="26"/>
      <c r="P52"/>
      <c r="Q52" s="26"/>
      <c r="R52" s="26"/>
      <c r="S52" s="26"/>
      <c r="T52" s="26"/>
      <c r="U52"/>
      <c r="V52" s="26"/>
      <c r="W52" s="26"/>
      <c r="X52" s="26"/>
      <c r="Y52" s="26"/>
      <c r="Z52" s="26"/>
      <c r="AA52"/>
      <c r="AB52" s="26"/>
      <c r="AC52" s="26"/>
      <c r="AD52" s="26"/>
      <c r="AE52" s="26"/>
      <c r="AF52" s="26"/>
    </row>
    <row r="53" spans="1:32" s="43" customFormat="1" ht="18" customHeight="1" x14ac:dyDescent="0.25">
      <c r="A53" s="40"/>
      <c r="B53" s="41" t="s">
        <v>11</v>
      </c>
      <c r="C53" s="79">
        <v>24232.833999999999</v>
      </c>
      <c r="D53" s="80">
        <v>36540.333333333328</v>
      </c>
      <c r="E53" s="81"/>
      <c r="F53"/>
      <c r="G53" s="79">
        <v>24221.067434104498</v>
      </c>
      <c r="H53" s="35">
        <v>29881.21487603306</v>
      </c>
      <c r="I53" s="80">
        <v>26319.043739954315</v>
      </c>
      <c r="J53" s="42"/>
      <c r="K53"/>
      <c r="L53" s="79">
        <v>24221.067434104498</v>
      </c>
      <c r="M53" s="35">
        <v>19098.5</v>
      </c>
      <c r="N53" s="37">
        <v>31375.722113903408</v>
      </c>
      <c r="O53" s="42"/>
      <c r="P53"/>
      <c r="Q53" s="79">
        <v>24221.067434104498</v>
      </c>
      <c r="R53" s="35">
        <v>21176.470588235294</v>
      </c>
      <c r="S53" s="80">
        <v>5900.6504138506925</v>
      </c>
      <c r="T53" s="42"/>
      <c r="U53"/>
      <c r="V53" s="79">
        <v>24221.067434104498</v>
      </c>
      <c r="W53" s="35">
        <v>0</v>
      </c>
      <c r="X53" s="182">
        <v>0</v>
      </c>
      <c r="Y53" s="37">
        <v>0</v>
      </c>
      <c r="Z53" s="42"/>
      <c r="AA53"/>
      <c r="AB53" s="34">
        <f t="shared" ref="AB53:AB61" si="10">+C53+G53+L53+Q53+V53</f>
        <v>121117.10373641798</v>
      </c>
      <c r="AC53" s="182">
        <f t="shared" ref="AC53:AC59" si="11">D53+I53+N53+S53+X53</f>
        <v>100135.74960104174</v>
      </c>
      <c r="AD53" s="37">
        <f t="shared" ref="AD53:AD59" si="12">+D53+I53+N53+S53+Y53</f>
        <v>100135.74960104174</v>
      </c>
      <c r="AE53" s="42"/>
      <c r="AF53" s="42"/>
    </row>
    <row r="54" spans="1:32" s="43" customFormat="1" x14ac:dyDescent="0.25">
      <c r="A54" s="40"/>
      <c r="B54" s="41" t="s">
        <v>13</v>
      </c>
      <c r="C54" s="79">
        <v>17096.75116</v>
      </c>
      <c r="D54" s="80">
        <v>43095.333333333328</v>
      </c>
      <c r="E54" s="81"/>
      <c r="F54"/>
      <c r="G54" s="79">
        <v>17088.449611401797</v>
      </c>
      <c r="H54" s="35">
        <v>23904.971900826447</v>
      </c>
      <c r="I54" s="80">
        <v>10700.526668640554</v>
      </c>
      <c r="J54" s="81"/>
      <c r="K54"/>
      <c r="L54" s="79">
        <v>17088.449611401797</v>
      </c>
      <c r="M54" s="35">
        <v>15915.416666666668</v>
      </c>
      <c r="N54" s="37">
        <v>9337.3952207171606</v>
      </c>
      <c r="O54" s="81"/>
      <c r="P54"/>
      <c r="Q54" s="79">
        <v>17088.449611401797</v>
      </c>
      <c r="R54" s="35">
        <v>28235.294117647059</v>
      </c>
      <c r="S54" s="80">
        <v>10300.898473815234</v>
      </c>
      <c r="T54" s="81"/>
      <c r="U54"/>
      <c r="V54" s="79">
        <v>17088.449611401797</v>
      </c>
      <c r="W54" s="35">
        <v>0</v>
      </c>
      <c r="X54" s="182">
        <v>0</v>
      </c>
      <c r="Y54" s="37">
        <v>0</v>
      </c>
      <c r="Z54" s="42"/>
      <c r="AA54"/>
      <c r="AB54" s="34">
        <f t="shared" si="10"/>
        <v>85450.549605607186</v>
      </c>
      <c r="AC54" s="182">
        <f t="shared" si="11"/>
        <v>73434.15369650627</v>
      </c>
      <c r="AD54" s="37">
        <f t="shared" si="12"/>
        <v>73434.15369650627</v>
      </c>
      <c r="AE54" s="81"/>
      <c r="AF54" s="81"/>
    </row>
    <row r="55" spans="1:32" s="43" customFormat="1" x14ac:dyDescent="0.25">
      <c r="A55" s="40"/>
      <c r="B55" s="41" t="s">
        <v>14</v>
      </c>
      <c r="C55" s="79">
        <v>29735.502140000001</v>
      </c>
      <c r="D55" s="80">
        <v>25353.333333333332</v>
      </c>
      <c r="E55" s="81"/>
      <c r="F55"/>
      <c r="G55" s="79">
        <v>29721.063682435928</v>
      </c>
      <c r="H55" s="35">
        <v>49802.024793388431</v>
      </c>
      <c r="I55" s="80">
        <v>54491.698107182128</v>
      </c>
      <c r="J55" s="81"/>
      <c r="K55"/>
      <c r="L55" s="79">
        <v>29721.063682435928</v>
      </c>
      <c r="M55" s="35">
        <v>105041.75</v>
      </c>
      <c r="N55" s="37">
        <v>106706.56413786154</v>
      </c>
      <c r="O55" s="81"/>
      <c r="P55"/>
      <c r="Q55" s="79">
        <v>29721.063682435928</v>
      </c>
      <c r="R55" s="35">
        <v>148235.29411764705</v>
      </c>
      <c r="S55" s="80">
        <v>87724.735137684111</v>
      </c>
      <c r="T55" s="81"/>
      <c r="U55"/>
      <c r="V55" s="79">
        <v>29721.063682435928</v>
      </c>
      <c r="W55" s="35">
        <v>148000</v>
      </c>
      <c r="X55" s="182">
        <v>181535</v>
      </c>
      <c r="Y55" s="37">
        <v>158583.33170827187</v>
      </c>
      <c r="Z55" s="42"/>
      <c r="AA55"/>
      <c r="AB55" s="34">
        <f t="shared" si="10"/>
        <v>148619.75686974372</v>
      </c>
      <c r="AC55" s="182">
        <f t="shared" si="11"/>
        <v>455811.33071606111</v>
      </c>
      <c r="AD55" s="37">
        <f t="shared" si="12"/>
        <v>432859.66242433299</v>
      </c>
      <c r="AE55" s="81"/>
      <c r="AF55" s="81"/>
    </row>
    <row r="56" spans="1:32" s="43" customFormat="1" x14ac:dyDescent="0.25">
      <c r="A56" s="40"/>
      <c r="B56" s="41" t="s">
        <v>15</v>
      </c>
      <c r="C56" s="34">
        <v>12489.512699999999</v>
      </c>
      <c r="D56" s="80">
        <v>0</v>
      </c>
      <c r="E56" s="81"/>
      <c r="F56"/>
      <c r="G56" s="79">
        <v>12483.448255610734</v>
      </c>
      <c r="H56" s="35">
        <v>16932.688429752066</v>
      </c>
      <c r="I56" s="80">
        <v>21025.471937653325</v>
      </c>
      <c r="J56" s="42"/>
      <c r="K56"/>
      <c r="L56" s="79">
        <v>12483.448255610734</v>
      </c>
      <c r="M56" s="35">
        <v>12732.333333333332</v>
      </c>
      <c r="N56" s="37">
        <v>15086.509203508551</v>
      </c>
      <c r="O56" s="42"/>
      <c r="P56"/>
      <c r="Q56" s="79">
        <v>12483.448255610734</v>
      </c>
      <c r="R56" s="35">
        <v>42352.941176470587</v>
      </c>
      <c r="S56" s="80">
        <v>132323.98865027577</v>
      </c>
      <c r="T56" s="42"/>
      <c r="U56"/>
      <c r="V56" s="79">
        <v>12483.448255610734</v>
      </c>
      <c r="W56" s="35">
        <v>0</v>
      </c>
      <c r="X56" s="182">
        <v>0</v>
      </c>
      <c r="Y56" s="37">
        <v>0</v>
      </c>
      <c r="Z56" s="42"/>
      <c r="AA56"/>
      <c r="AB56" s="34">
        <f t="shared" si="10"/>
        <v>62423.305722442929</v>
      </c>
      <c r="AC56" s="182">
        <f t="shared" si="11"/>
        <v>168435.96979143764</v>
      </c>
      <c r="AD56" s="37">
        <f t="shared" si="12"/>
        <v>168435.96979143764</v>
      </c>
      <c r="AE56" s="42"/>
      <c r="AF56" s="42"/>
    </row>
    <row r="57" spans="1:32" s="43" customFormat="1" x14ac:dyDescent="0.25">
      <c r="A57" s="40"/>
      <c r="B57" s="41" t="s">
        <v>16</v>
      </c>
      <c r="C57" s="34">
        <v>22000</v>
      </c>
      <c r="D57" s="80">
        <v>8723.1</v>
      </c>
      <c r="E57" s="81"/>
      <c r="F57"/>
      <c r="G57" s="79">
        <v>21989.317615525237</v>
      </c>
      <c r="H57" s="35">
        <v>8000</v>
      </c>
      <c r="I57" s="80">
        <v>0</v>
      </c>
      <c r="J57" s="42"/>
      <c r="K57"/>
      <c r="L57" s="79">
        <v>21989.317615525237</v>
      </c>
      <c r="M57" s="35">
        <v>8000</v>
      </c>
      <c r="N57" s="37">
        <v>3368.8100000000004</v>
      </c>
      <c r="O57" s="42"/>
      <c r="P57"/>
      <c r="Q57" s="79">
        <v>21989.317615525237</v>
      </c>
      <c r="R57" s="35">
        <v>5000</v>
      </c>
      <c r="S57" s="80">
        <v>1256.21</v>
      </c>
      <c r="T57" s="42"/>
      <c r="U57"/>
      <c r="V57" s="79">
        <v>21989.317615525237</v>
      </c>
      <c r="W57" s="35">
        <v>5000</v>
      </c>
      <c r="X57" s="182">
        <v>0</v>
      </c>
      <c r="Y57" s="37">
        <v>0</v>
      </c>
      <c r="Z57" s="42"/>
      <c r="AA57"/>
      <c r="AB57" s="34">
        <f t="shared" si="10"/>
        <v>109957.27046210095</v>
      </c>
      <c r="AC57" s="182">
        <f t="shared" si="11"/>
        <v>13348.119999999999</v>
      </c>
      <c r="AD57" s="37">
        <f t="shared" si="12"/>
        <v>13348.119999999999</v>
      </c>
      <c r="AE57" s="42"/>
      <c r="AF57" s="42"/>
    </row>
    <row r="58" spans="1:32" s="43" customFormat="1" x14ac:dyDescent="0.25">
      <c r="A58" s="40"/>
      <c r="B58" s="41" t="s">
        <v>17</v>
      </c>
      <c r="C58" s="34">
        <v>19000</v>
      </c>
      <c r="D58" s="80">
        <v>0</v>
      </c>
      <c r="E58" s="81"/>
      <c r="F58"/>
      <c r="G58" s="79">
        <v>18990.774304317252</v>
      </c>
      <c r="H58" s="35">
        <v>19000</v>
      </c>
      <c r="I58" s="80">
        <v>0</v>
      </c>
      <c r="J58" s="42"/>
      <c r="K58"/>
      <c r="L58" s="79">
        <v>18990.774304317252</v>
      </c>
      <c r="M58" s="35">
        <v>19000</v>
      </c>
      <c r="N58" s="37">
        <v>0</v>
      </c>
      <c r="O58" s="42"/>
      <c r="P58"/>
      <c r="Q58" s="79">
        <v>18990.774304317252</v>
      </c>
      <c r="R58" s="35">
        <v>19000</v>
      </c>
      <c r="S58" s="80">
        <v>453.64191109594782</v>
      </c>
      <c r="T58" s="42"/>
      <c r="U58"/>
      <c r="V58" s="79">
        <v>18990.774304317252</v>
      </c>
      <c r="W58" s="35">
        <v>19000</v>
      </c>
      <c r="X58" s="182">
        <v>19000</v>
      </c>
      <c r="Y58" s="37">
        <v>3831.9437383694722</v>
      </c>
      <c r="Z58" s="42"/>
      <c r="AA58"/>
      <c r="AB58" s="34">
        <f t="shared" si="10"/>
        <v>94963.097217269009</v>
      </c>
      <c r="AC58" s="182">
        <f t="shared" si="11"/>
        <v>19453.641911095947</v>
      </c>
      <c r="AD58" s="37">
        <f t="shared" si="12"/>
        <v>4285.5856494654199</v>
      </c>
      <c r="AE58" s="42"/>
      <c r="AF58" s="42"/>
    </row>
    <row r="59" spans="1:32" s="43" customFormat="1" x14ac:dyDescent="0.25">
      <c r="A59" s="40"/>
      <c r="B59" s="41" t="s">
        <v>18</v>
      </c>
      <c r="C59" s="79">
        <v>44527.500000000007</v>
      </c>
      <c r="D59" s="80">
        <v>43422</v>
      </c>
      <c r="E59" s="81"/>
      <c r="F59"/>
      <c r="G59" s="79">
        <v>44505.879096604556</v>
      </c>
      <c r="H59" s="35">
        <v>21596</v>
      </c>
      <c r="I59" s="80">
        <v>78934.859546569656</v>
      </c>
      <c r="J59" s="81"/>
      <c r="K59"/>
      <c r="L59" s="79">
        <v>44505.879096604556</v>
      </c>
      <c r="M59" s="35">
        <v>29212</v>
      </c>
      <c r="N59" s="37">
        <v>36797.48932400933</v>
      </c>
      <c r="O59" s="81"/>
      <c r="P59"/>
      <c r="Q59" s="79">
        <v>44505.879096604556</v>
      </c>
      <c r="R59" s="35">
        <v>30000</v>
      </c>
      <c r="S59" s="80">
        <v>44485.365413278298</v>
      </c>
      <c r="T59" s="81"/>
      <c r="U59"/>
      <c r="V59" s="79">
        <v>44505.879096604556</v>
      </c>
      <c r="W59" s="35">
        <v>31000</v>
      </c>
      <c r="X59" s="182">
        <v>33127.599999999999</v>
      </c>
      <c r="Y59" s="37">
        <v>40584.724553358661</v>
      </c>
      <c r="Z59" s="42"/>
      <c r="AA59"/>
      <c r="AB59" s="34">
        <f t="shared" si="10"/>
        <v>222551.01638641825</v>
      </c>
      <c r="AC59" s="182">
        <f t="shared" si="11"/>
        <v>236767.31428385727</v>
      </c>
      <c r="AD59" s="37">
        <f t="shared" si="12"/>
        <v>244224.43883721592</v>
      </c>
      <c r="AE59" s="81"/>
      <c r="AF59" s="81"/>
    </row>
    <row r="60" spans="1:32" x14ac:dyDescent="0.25">
      <c r="A60" s="30"/>
      <c r="B60" s="44" t="s">
        <v>19</v>
      </c>
      <c r="C60" s="46">
        <f>SUM(C53:C59)</f>
        <v>169082.1</v>
      </c>
      <c r="D60" s="49">
        <f>SUM(D53:D59)</f>
        <v>157134.09999999998</v>
      </c>
      <c r="E60" s="189">
        <f>SUM(E53:E59)</f>
        <v>0</v>
      </c>
      <c r="G60" s="46">
        <v>169000</v>
      </c>
      <c r="H60" s="47">
        <f>SUM(H53:H59)</f>
        <v>169116.90000000002</v>
      </c>
      <c r="I60" s="49">
        <f>SUM(I53:I59)</f>
        <v>191471.59999999998</v>
      </c>
      <c r="J60" s="50">
        <f>+G60-I60</f>
        <v>-22471.599999999977</v>
      </c>
      <c r="L60" s="46">
        <v>169000</v>
      </c>
      <c r="M60" s="47">
        <f>SUM(M53:M59)</f>
        <v>209000.00000000003</v>
      </c>
      <c r="N60" s="49">
        <v>202672.49</v>
      </c>
      <c r="O60" s="50">
        <f>+M60-N60</f>
        <v>6327.5100000000384</v>
      </c>
      <c r="Q60" s="46">
        <v>169000</v>
      </c>
      <c r="R60" s="47">
        <f>SUM(R53:R59)</f>
        <v>294000</v>
      </c>
      <c r="S60" s="49">
        <f>SUM(S53:S59)</f>
        <v>282445.49000000005</v>
      </c>
      <c r="T60" s="50">
        <f>+R60-S60</f>
        <v>11554.509999999951</v>
      </c>
      <c r="V60" s="46">
        <v>169000</v>
      </c>
      <c r="W60" s="47">
        <f>SUM(W53:W59)</f>
        <v>203000</v>
      </c>
      <c r="X60" s="183">
        <f>SUM(X53:X59)</f>
        <v>233662.6</v>
      </c>
      <c r="Y60" s="49">
        <v>203000</v>
      </c>
      <c r="Z60" s="50"/>
      <c r="AB60" s="46">
        <f t="shared" si="10"/>
        <v>845082.1</v>
      </c>
      <c r="AC60" s="183">
        <f>SUM(AC53:AC59)</f>
        <v>1067386.28</v>
      </c>
      <c r="AD60" s="49">
        <f>SUM(AD53:AD59)</f>
        <v>1036723.6799999999</v>
      </c>
      <c r="AE60" s="50"/>
      <c r="AF60" s="50"/>
    </row>
    <row r="61" spans="1:32" x14ac:dyDescent="0.25">
      <c r="A61" s="30"/>
      <c r="B61" s="41" t="s">
        <v>20</v>
      </c>
      <c r="C61" s="79">
        <v>23280</v>
      </c>
      <c r="D61" s="80">
        <v>23280</v>
      </c>
      <c r="E61" s="190"/>
      <c r="G61" s="79">
        <f>C61</f>
        <v>23280</v>
      </c>
      <c r="H61" s="82">
        <v>23978.400000000001</v>
      </c>
      <c r="I61" s="80">
        <v>25939</v>
      </c>
      <c r="J61" s="190"/>
      <c r="L61" s="79">
        <f>G61</f>
        <v>23280</v>
      </c>
      <c r="M61" s="82">
        <v>23280</v>
      </c>
      <c r="N61" s="37">
        <v>29212</v>
      </c>
      <c r="O61" s="42"/>
      <c r="Q61" s="79">
        <f>L61</f>
        <v>23280</v>
      </c>
      <c r="R61" s="35">
        <v>54593</v>
      </c>
      <c r="S61" s="80">
        <v>32672</v>
      </c>
      <c r="T61" s="42"/>
      <c r="V61" s="79">
        <f>Q61</f>
        <v>23280</v>
      </c>
      <c r="W61" s="35">
        <v>33693.347368421055</v>
      </c>
      <c r="X61" s="182">
        <v>33693.347368421055</v>
      </c>
      <c r="Y61" s="37">
        <v>23136</v>
      </c>
      <c r="Z61" s="42"/>
      <c r="AB61" s="34">
        <f t="shared" si="10"/>
        <v>116400</v>
      </c>
      <c r="AC61" s="182">
        <f>D61+I61+N61+S61+X61</f>
        <v>144796.34736842106</v>
      </c>
      <c r="AD61" s="37">
        <f>+D61+I61+N61+S61+Y61</f>
        <v>134239</v>
      </c>
      <c r="AE61" s="42"/>
      <c r="AF61" s="42"/>
    </row>
    <row r="62" spans="1:32" s="84" customFormat="1" ht="18.75" x14ac:dyDescent="0.3">
      <c r="A62" s="30"/>
      <c r="B62" s="83" t="s">
        <v>36</v>
      </c>
      <c r="C62" s="53">
        <f>C60+C61</f>
        <v>192362.1</v>
      </c>
      <c r="D62" s="56">
        <f>D60+D61</f>
        <v>180414.09999999998</v>
      </c>
      <c r="E62" s="50">
        <f>+C62-D62</f>
        <v>11948.000000000029</v>
      </c>
      <c r="F62"/>
      <c r="G62" s="53">
        <f>G60+G61</f>
        <v>192280</v>
      </c>
      <c r="H62" s="54">
        <f>H60+H61</f>
        <v>193095.30000000002</v>
      </c>
      <c r="I62" s="56">
        <f>I60+I61</f>
        <v>217410.59999999998</v>
      </c>
      <c r="J62" s="50">
        <f>+G62-I62</f>
        <v>-25130.599999999977</v>
      </c>
      <c r="K62"/>
      <c r="L62" s="53">
        <f>L60+L61</f>
        <v>192280</v>
      </c>
      <c r="M62" s="54">
        <f>M60+M61</f>
        <v>232280.00000000003</v>
      </c>
      <c r="N62" s="56">
        <f>N60+N61</f>
        <v>231884.49</v>
      </c>
      <c r="O62" s="50">
        <f>+M62-N62</f>
        <v>395.51000000003842</v>
      </c>
      <c r="P62"/>
      <c r="Q62" s="53">
        <f>Q60+Q61</f>
        <v>192280</v>
      </c>
      <c r="R62" s="54">
        <f>R60+R61</f>
        <v>348593</v>
      </c>
      <c r="S62" s="56">
        <f>S60+S61</f>
        <v>315117.49000000005</v>
      </c>
      <c r="T62" s="50">
        <f>+R62-S62</f>
        <v>33475.509999999951</v>
      </c>
      <c r="U62"/>
      <c r="V62" s="53">
        <f>V60+V61</f>
        <v>192280</v>
      </c>
      <c r="W62" s="54">
        <f>W60+W61</f>
        <v>236693.34736842106</v>
      </c>
      <c r="X62" s="184">
        <f>X60+X61</f>
        <v>267355.94736842107</v>
      </c>
      <c r="Y62" s="49">
        <v>226136</v>
      </c>
      <c r="Z62" s="185">
        <f>V62-W62</f>
        <v>-44413.347368421062</v>
      </c>
      <c r="AA62"/>
      <c r="AB62" s="53">
        <f>AB60+AB61</f>
        <v>961482.1</v>
      </c>
      <c r="AC62" s="184">
        <f>AC60+AC61</f>
        <v>1212182.6273684211</v>
      </c>
      <c r="AD62" s="56">
        <f>AD60+AD61</f>
        <v>1170962.68</v>
      </c>
      <c r="AE62" s="50">
        <f>+AC62-AD62</f>
        <v>41219.947368421126</v>
      </c>
      <c r="AF62" s="186">
        <f>AE62/AB62</f>
        <v>4.2871258204828906E-2</v>
      </c>
    </row>
    <row r="63" spans="1:32" s="87" customFormat="1" ht="18.75" x14ac:dyDescent="0.3">
      <c r="A63" s="85"/>
      <c r="B63" s="85"/>
      <c r="C63" s="69"/>
      <c r="D63" s="72"/>
      <c r="E63" s="85"/>
      <c r="F63"/>
      <c r="G63" s="69"/>
      <c r="H63" s="70"/>
      <c r="I63" s="72"/>
      <c r="J63" s="85"/>
      <c r="K63"/>
      <c r="L63" s="69"/>
      <c r="M63" s="70"/>
      <c r="N63" s="72"/>
      <c r="O63" s="85"/>
      <c r="P63"/>
      <c r="Q63" s="69"/>
      <c r="R63" s="70"/>
      <c r="S63" s="72"/>
      <c r="T63" s="85"/>
      <c r="U63"/>
      <c r="V63" s="69"/>
      <c r="W63" s="70"/>
      <c r="X63" s="188"/>
      <c r="Y63" s="72"/>
      <c r="Z63" s="67"/>
      <c r="AA63"/>
      <c r="AB63" s="69"/>
      <c r="AC63" s="188"/>
      <c r="AD63" s="72"/>
      <c r="AE63" s="85"/>
      <c r="AF63" s="85"/>
    </row>
    <row r="64" spans="1:32" s="29" customFormat="1" x14ac:dyDescent="0.25">
      <c r="A64" s="24" t="s">
        <v>37</v>
      </c>
      <c r="B64" s="25" t="s">
        <v>104</v>
      </c>
      <c r="C64" s="26"/>
      <c r="D64" s="26"/>
      <c r="E64" s="26"/>
      <c r="F64"/>
      <c r="G64" s="26"/>
      <c r="H64" s="26"/>
      <c r="I64" s="26"/>
      <c r="J64" s="26"/>
      <c r="K64"/>
      <c r="L64" s="26"/>
      <c r="M64" s="26"/>
      <c r="N64" s="26"/>
      <c r="O64" s="26"/>
      <c r="P64"/>
      <c r="Q64" s="26"/>
      <c r="R64" s="26"/>
      <c r="S64" s="26"/>
      <c r="T64" s="26"/>
      <c r="U64"/>
      <c r="V64" s="26"/>
      <c r="W64" s="26"/>
      <c r="X64" s="26"/>
      <c r="Y64" s="26"/>
      <c r="Z64" s="26"/>
      <c r="AA64"/>
      <c r="AB64" s="26"/>
      <c r="AC64" s="26"/>
      <c r="AD64" s="26"/>
      <c r="AE64" s="26"/>
      <c r="AF64" s="26"/>
    </row>
    <row r="65" spans="1:34" ht="18" customHeight="1" x14ac:dyDescent="0.25">
      <c r="A65" s="30"/>
      <c r="B65" s="32" t="s">
        <v>39</v>
      </c>
      <c r="C65" s="34">
        <v>50000</v>
      </c>
      <c r="D65" s="37">
        <v>9097.0499999999993</v>
      </c>
      <c r="E65" s="38"/>
      <c r="G65" s="34"/>
      <c r="H65" s="35"/>
      <c r="I65" s="37"/>
      <c r="J65" s="38"/>
      <c r="L65" s="34"/>
      <c r="M65" s="35"/>
      <c r="N65" s="37"/>
      <c r="O65" s="38"/>
      <c r="Q65" s="34"/>
      <c r="R65" s="35"/>
      <c r="S65" s="37"/>
      <c r="T65" s="38"/>
      <c r="V65" s="34">
        <v>0</v>
      </c>
      <c r="W65" s="35">
        <v>0</v>
      </c>
      <c r="X65" s="182">
        <v>0</v>
      </c>
      <c r="Y65" s="37">
        <v>0</v>
      </c>
      <c r="Z65" s="42"/>
      <c r="AB65" s="34"/>
      <c r="AC65" s="182">
        <f t="shared" ref="AC65:AC70" si="13">D65+I65+N65+S65+X65</f>
        <v>9097.0499999999993</v>
      </c>
      <c r="AD65" s="37">
        <f t="shared" ref="AD65:AD70" si="14">+D65+I65+N65+S65+Y65</f>
        <v>9097.0499999999993</v>
      </c>
      <c r="AE65" s="38"/>
      <c r="AF65" s="38"/>
    </row>
    <row r="66" spans="1:34" x14ac:dyDescent="0.25">
      <c r="A66" s="30"/>
      <c r="B66" s="32" t="s">
        <v>41</v>
      </c>
      <c r="C66" s="34">
        <v>50000</v>
      </c>
      <c r="D66" s="37">
        <v>45132</v>
      </c>
      <c r="E66" s="38"/>
      <c r="G66" s="34"/>
      <c r="H66" s="35">
        <f>H83</f>
        <v>180350</v>
      </c>
      <c r="I66" s="37">
        <f>I83</f>
        <v>175660.44999999995</v>
      </c>
      <c r="J66" s="38"/>
      <c r="L66" s="34"/>
      <c r="M66" s="35">
        <f>M83</f>
        <v>205290.5</v>
      </c>
      <c r="N66" s="37">
        <f>N83</f>
        <v>33848.97</v>
      </c>
      <c r="O66" s="38"/>
      <c r="Q66" s="34"/>
      <c r="R66" s="35">
        <f>R83</f>
        <v>306059</v>
      </c>
      <c r="S66" s="37">
        <f>S83</f>
        <v>272665.66000000003</v>
      </c>
      <c r="T66" s="38"/>
      <c r="V66" s="34">
        <f>V85</f>
        <v>0</v>
      </c>
      <c r="W66" s="35">
        <v>295059.71999999997</v>
      </c>
      <c r="X66" s="182">
        <v>305056</v>
      </c>
      <c r="Y66" s="37">
        <v>301606.92000000004</v>
      </c>
      <c r="Z66" s="42"/>
      <c r="AB66" s="34"/>
      <c r="AC66" s="182">
        <f t="shared" si="13"/>
        <v>832363.08</v>
      </c>
      <c r="AD66" s="37">
        <f t="shared" si="14"/>
        <v>828914</v>
      </c>
      <c r="AE66" s="38"/>
      <c r="AF66" s="38"/>
    </row>
    <row r="67" spans="1:34" x14ac:dyDescent="0.25">
      <c r="A67" s="30"/>
      <c r="B67" s="32" t="s">
        <v>42</v>
      </c>
      <c r="C67" s="34">
        <v>50000</v>
      </c>
      <c r="D67" s="37">
        <v>6508.01</v>
      </c>
      <c r="E67" s="38"/>
      <c r="G67" s="34"/>
      <c r="H67" s="35"/>
      <c r="I67" s="37"/>
      <c r="J67" s="38"/>
      <c r="L67" s="34"/>
      <c r="M67" s="35"/>
      <c r="N67" s="37"/>
      <c r="O67" s="38"/>
      <c r="Q67" s="34"/>
      <c r="R67" s="35"/>
      <c r="S67" s="37"/>
      <c r="T67" s="38"/>
      <c r="V67" s="34">
        <v>0</v>
      </c>
      <c r="W67" s="35">
        <v>0</v>
      </c>
      <c r="X67" s="182">
        <v>0</v>
      </c>
      <c r="Y67" s="37">
        <v>0</v>
      </c>
      <c r="Z67" s="42"/>
      <c r="AB67" s="34"/>
      <c r="AC67" s="182">
        <f t="shared" si="13"/>
        <v>6508.01</v>
      </c>
      <c r="AD67" s="37">
        <f t="shared" si="14"/>
        <v>6508.01</v>
      </c>
      <c r="AE67" s="38"/>
      <c r="AF67" s="38"/>
    </row>
    <row r="68" spans="1:34" x14ac:dyDescent="0.25">
      <c r="A68" s="30"/>
      <c r="B68" s="32" t="s">
        <v>105</v>
      </c>
      <c r="C68" s="34">
        <v>0</v>
      </c>
      <c r="D68" s="37">
        <v>0</v>
      </c>
      <c r="E68" s="38"/>
      <c r="G68" s="34"/>
      <c r="H68" s="35"/>
      <c r="I68" s="37"/>
      <c r="J68" s="38"/>
      <c r="L68" s="34"/>
      <c r="M68" s="35"/>
      <c r="N68" s="37"/>
      <c r="O68" s="38"/>
      <c r="Q68" s="34"/>
      <c r="R68" s="35"/>
      <c r="S68" s="37"/>
      <c r="T68" s="38"/>
      <c r="V68" s="34">
        <v>0</v>
      </c>
      <c r="W68" s="35">
        <v>232834.44210526318</v>
      </c>
      <c r="X68" s="182">
        <v>0</v>
      </c>
      <c r="Y68" s="37">
        <v>0</v>
      </c>
      <c r="Z68" s="42"/>
      <c r="AB68" s="34"/>
      <c r="AC68" s="182">
        <f t="shared" si="13"/>
        <v>0</v>
      </c>
      <c r="AD68" s="37">
        <f t="shared" si="14"/>
        <v>0</v>
      </c>
      <c r="AE68" s="38"/>
      <c r="AF68" s="38"/>
    </row>
    <row r="69" spans="1:34" x14ac:dyDescent="0.25">
      <c r="A69" s="30"/>
      <c r="B69" s="32" t="s">
        <v>106</v>
      </c>
      <c r="C69" s="34">
        <v>50000</v>
      </c>
      <c r="D69" s="37">
        <v>21730.21</v>
      </c>
      <c r="E69" s="38"/>
      <c r="G69" s="34"/>
      <c r="H69" s="35">
        <f>H107</f>
        <v>180350</v>
      </c>
      <c r="I69" s="37">
        <f>I107</f>
        <v>7713.41</v>
      </c>
      <c r="J69" s="38"/>
      <c r="L69" s="34"/>
      <c r="M69" s="35">
        <f>M107</f>
        <v>142950</v>
      </c>
      <c r="N69" s="37">
        <f>N107</f>
        <v>-5.6843418860808015E-14</v>
      </c>
      <c r="O69" s="38"/>
      <c r="Q69" s="34"/>
      <c r="R69" s="35">
        <f>R107</f>
        <v>0</v>
      </c>
      <c r="S69" s="37">
        <f>S95</f>
        <v>209894.02999999997</v>
      </c>
      <c r="T69" s="38"/>
      <c r="V69" s="34">
        <f>V109</f>
        <v>0</v>
      </c>
      <c r="W69" s="35">
        <v>0</v>
      </c>
      <c r="X69" s="182">
        <v>154126.68799999999</v>
      </c>
      <c r="Y69" s="37">
        <v>67396.28</v>
      </c>
      <c r="Z69" s="42"/>
      <c r="AB69" s="34"/>
      <c r="AC69" s="182">
        <f t="shared" si="13"/>
        <v>393464.33799999999</v>
      </c>
      <c r="AD69" s="37">
        <f t="shared" si="14"/>
        <v>306733.92999999993</v>
      </c>
      <c r="AE69" s="38"/>
      <c r="AF69" s="38"/>
    </row>
    <row r="70" spans="1:34" x14ac:dyDescent="0.25">
      <c r="A70" s="30"/>
      <c r="B70" s="32" t="s">
        <v>44</v>
      </c>
      <c r="C70" s="34">
        <v>0</v>
      </c>
      <c r="D70" s="37">
        <v>0</v>
      </c>
      <c r="E70" s="38"/>
      <c r="G70" s="34"/>
      <c r="H70" s="35">
        <f>H95</f>
        <v>0</v>
      </c>
      <c r="I70" s="37">
        <f>I95</f>
        <v>0</v>
      </c>
      <c r="J70" s="38"/>
      <c r="L70" s="34"/>
      <c r="M70" s="35">
        <f>M95</f>
        <v>0</v>
      </c>
      <c r="N70" s="37">
        <f>N95</f>
        <v>0</v>
      </c>
      <c r="O70" s="38"/>
      <c r="Q70" s="34"/>
      <c r="R70" s="35">
        <f>R95</f>
        <v>379700</v>
      </c>
      <c r="S70" s="37">
        <f>S119</f>
        <v>7735.1699999999983</v>
      </c>
      <c r="T70" s="38"/>
      <c r="V70" s="34">
        <f>V97</f>
        <v>0</v>
      </c>
      <c r="W70" s="35">
        <v>257545</v>
      </c>
      <c r="X70" s="182">
        <v>248350</v>
      </c>
      <c r="Y70" s="37">
        <v>134499.64000000001</v>
      </c>
      <c r="Z70" s="42"/>
      <c r="AB70" s="34"/>
      <c r="AC70" s="182">
        <f t="shared" si="13"/>
        <v>256085.16999999998</v>
      </c>
      <c r="AD70" s="37">
        <f t="shared" si="14"/>
        <v>142234.81</v>
      </c>
      <c r="AE70" s="38"/>
      <c r="AF70" s="38"/>
    </row>
    <row r="71" spans="1:34" s="84" customFormat="1" x14ac:dyDescent="0.25">
      <c r="A71" s="30"/>
      <c r="B71" s="83" t="s">
        <v>46</v>
      </c>
      <c r="C71" s="46">
        <f>SUM(C65:C70)</f>
        <v>200000</v>
      </c>
      <c r="D71" s="49">
        <f>SUM(D65:D69)</f>
        <v>82467.27</v>
      </c>
      <c r="E71" s="50">
        <f>+C71-D71</f>
        <v>117532.73</v>
      </c>
      <c r="F71"/>
      <c r="G71" s="46">
        <v>245000</v>
      </c>
      <c r="H71" s="47">
        <f>SUM(H65:H70)</f>
        <v>360700</v>
      </c>
      <c r="I71" s="49">
        <f>SUM(I65:I70)</f>
        <v>183373.85999999996</v>
      </c>
      <c r="J71" s="50">
        <f>SUM(J65:J70)</f>
        <v>0</v>
      </c>
      <c r="K71"/>
      <c r="L71" s="46">
        <v>305000</v>
      </c>
      <c r="M71" s="47">
        <f>SUM(M65:M70)</f>
        <v>348240.5</v>
      </c>
      <c r="N71" s="49">
        <f>SUM(N65:N70)</f>
        <v>33848.97</v>
      </c>
      <c r="O71" s="50">
        <f>+M71-N71</f>
        <v>314391.53000000003</v>
      </c>
      <c r="P71"/>
      <c r="Q71" s="46">
        <v>365000</v>
      </c>
      <c r="R71" s="47">
        <f>SUM(R65:R70)</f>
        <v>685759</v>
      </c>
      <c r="S71" s="49">
        <f>SUM(S66:S70)</f>
        <v>490294.86</v>
      </c>
      <c r="T71" s="50">
        <f>+R71-S71</f>
        <v>195464.14</v>
      </c>
      <c r="U71"/>
      <c r="V71" s="46">
        <v>400000</v>
      </c>
      <c r="W71" s="47">
        <f>SUM(W65:W70)</f>
        <v>785439.16210526321</v>
      </c>
      <c r="X71" s="183">
        <f>SUM(X65:X70)</f>
        <v>707532.68799999997</v>
      </c>
      <c r="Y71" s="49">
        <v>503502.84000000008</v>
      </c>
      <c r="Z71" s="50"/>
      <c r="AA71"/>
      <c r="AB71" s="46">
        <f>+C71+G71+L71+Q71+V71</f>
        <v>1515000</v>
      </c>
      <c r="AC71" s="183">
        <f>SUM(AC65:AC70)</f>
        <v>1497517.648</v>
      </c>
      <c r="AD71" s="49">
        <f>SUM(AD64:AD70)</f>
        <v>1293487.8</v>
      </c>
      <c r="AE71" s="50"/>
      <c r="AF71" s="50"/>
    </row>
    <row r="72" spans="1:34" x14ac:dyDescent="0.25">
      <c r="A72" s="30"/>
      <c r="B72" s="179" t="s">
        <v>47</v>
      </c>
      <c r="C72" s="34">
        <v>77440</v>
      </c>
      <c r="D72" s="37">
        <v>157440</v>
      </c>
      <c r="E72" s="38"/>
      <c r="G72" s="34">
        <f>77440</f>
        <v>77440</v>
      </c>
      <c r="H72" s="35">
        <f>H84+H96+H108</f>
        <v>160000</v>
      </c>
      <c r="I72" s="37">
        <f>I84+I96+I108</f>
        <v>60971.5</v>
      </c>
      <c r="J72" s="38"/>
      <c r="L72" s="34">
        <v>77440</v>
      </c>
      <c r="M72" s="35">
        <f>M84+M96+M108</f>
        <v>128000</v>
      </c>
      <c r="N72" s="37">
        <f>N84+N96+N108</f>
        <v>57973</v>
      </c>
      <c r="O72" s="42"/>
      <c r="Q72" s="34">
        <v>77440</v>
      </c>
      <c r="R72" s="35">
        <f>R84+R96+R108</f>
        <v>98338.299999999988</v>
      </c>
      <c r="S72" s="37">
        <f>S84+S96+S120</f>
        <v>111032.70000000001</v>
      </c>
      <c r="T72" s="42"/>
      <c r="V72" s="34">
        <f>77440</f>
        <v>77440</v>
      </c>
      <c r="W72" s="35">
        <v>123594.44210526315</v>
      </c>
      <c r="X72" s="182">
        <v>127703.55789473685</v>
      </c>
      <c r="Y72" s="37">
        <v>128661.9</v>
      </c>
      <c r="Z72" s="42"/>
      <c r="AB72" s="34">
        <f>+C72+G72+L72+Q72+V72</f>
        <v>387200</v>
      </c>
      <c r="AC72" s="182">
        <f>D72+I72+N72+S72+X72</f>
        <v>515120.75789473683</v>
      </c>
      <c r="AD72" s="37">
        <f>+D72+I72+N72+S72+Y72</f>
        <v>516079.1</v>
      </c>
      <c r="AE72" s="42"/>
      <c r="AF72" s="42"/>
    </row>
    <row r="73" spans="1:34" s="84" customFormat="1" ht="18.75" x14ac:dyDescent="0.3">
      <c r="A73" s="30"/>
      <c r="B73" s="83" t="s">
        <v>21</v>
      </c>
      <c r="C73" s="46">
        <f>C71+C72</f>
        <v>277440</v>
      </c>
      <c r="D73" s="49">
        <f>D71+D72</f>
        <v>239907.27000000002</v>
      </c>
      <c r="E73" s="50">
        <f>+C73-D73</f>
        <v>37532.729999999981</v>
      </c>
      <c r="F73"/>
      <c r="G73" s="46">
        <f>G71+G72</f>
        <v>322440</v>
      </c>
      <c r="H73" s="47">
        <f>H71+H72</f>
        <v>520700</v>
      </c>
      <c r="I73" s="49">
        <f>I71+I72</f>
        <v>244345.35999999996</v>
      </c>
      <c r="J73" s="50">
        <f>J71+J72</f>
        <v>0</v>
      </c>
      <c r="K73"/>
      <c r="L73" s="46">
        <f>L71+L72</f>
        <v>382440</v>
      </c>
      <c r="M73" s="47">
        <f>M71+M72</f>
        <v>476240.5</v>
      </c>
      <c r="N73" s="49">
        <f>N71+N72</f>
        <v>91821.97</v>
      </c>
      <c r="O73" s="50">
        <f>+M73-N73</f>
        <v>384418.53</v>
      </c>
      <c r="P73"/>
      <c r="Q73" s="46">
        <f>Q71+Q72</f>
        <v>442440</v>
      </c>
      <c r="R73" s="47">
        <f>R71+R72</f>
        <v>784097.3</v>
      </c>
      <c r="S73" s="49">
        <f>S71+S72</f>
        <v>601327.56000000006</v>
      </c>
      <c r="T73" s="50">
        <f>+R73-S73</f>
        <v>182769.74</v>
      </c>
      <c r="U73"/>
      <c r="V73" s="46">
        <f>V71+V72</f>
        <v>477440</v>
      </c>
      <c r="W73" s="47">
        <f>W71+W72</f>
        <v>909033.60421052633</v>
      </c>
      <c r="X73" s="183">
        <f>X71+X72</f>
        <v>835236.24589473684</v>
      </c>
      <c r="Y73" s="49">
        <v>632164.74000000011</v>
      </c>
      <c r="Z73" s="185">
        <f>V73-W73</f>
        <v>-431593.60421052633</v>
      </c>
      <c r="AA73"/>
      <c r="AB73" s="46">
        <f>AB71+AB72</f>
        <v>1902200</v>
      </c>
      <c r="AC73" s="184">
        <f>AC71+AC72</f>
        <v>2012638.4058947368</v>
      </c>
      <c r="AD73" s="56">
        <f>AD71+AD72</f>
        <v>1809566.9</v>
      </c>
      <c r="AE73" s="50">
        <f>+AC73-AD73</f>
        <v>203071.50589473685</v>
      </c>
      <c r="AF73" s="186">
        <f>AE73/AB73</f>
        <v>0.10675612758634048</v>
      </c>
    </row>
    <row r="74" spans="1:34" ht="18.75" x14ac:dyDescent="0.3">
      <c r="A74" s="30"/>
      <c r="B74" s="83"/>
      <c r="C74" s="53"/>
      <c r="D74" s="56"/>
      <c r="E74" s="91"/>
      <c r="G74" s="53"/>
      <c r="H74" s="54"/>
      <c r="I74" s="56"/>
      <c r="J74" s="91"/>
      <c r="L74" s="53"/>
      <c r="M74" s="54"/>
      <c r="N74" s="56"/>
      <c r="O74" s="91"/>
      <c r="Q74" s="53"/>
      <c r="R74" s="54"/>
      <c r="S74" s="56"/>
      <c r="T74" s="91"/>
      <c r="V74" s="53"/>
      <c r="W74" s="54"/>
      <c r="X74" s="184"/>
      <c r="Y74" s="56"/>
      <c r="Z74" s="191"/>
      <c r="AB74" s="53"/>
      <c r="AC74" s="184"/>
      <c r="AD74" s="56"/>
      <c r="AE74" s="91"/>
      <c r="AF74" s="91"/>
    </row>
    <row r="75" spans="1:34" s="43" customFormat="1" x14ac:dyDescent="0.25">
      <c r="A75" s="94" t="s">
        <v>48</v>
      </c>
      <c r="B75" s="25" t="s">
        <v>49</v>
      </c>
      <c r="C75" s="26"/>
      <c r="D75" s="26"/>
      <c r="E75" s="26"/>
      <c r="F75"/>
      <c r="G75" s="26"/>
      <c r="H75" s="26"/>
      <c r="I75" s="26"/>
      <c r="J75" s="26"/>
      <c r="K75"/>
      <c r="L75" s="26"/>
      <c r="M75" s="26"/>
      <c r="N75" s="26"/>
      <c r="O75" s="26"/>
      <c r="P75"/>
      <c r="Q75" s="26"/>
      <c r="R75" s="26"/>
      <c r="S75" s="26"/>
      <c r="T75" s="26"/>
      <c r="U75"/>
      <c r="V75" s="26"/>
      <c r="W75" s="26"/>
      <c r="X75" s="26"/>
      <c r="Y75" s="26"/>
      <c r="Z75" s="26"/>
      <c r="AA75"/>
      <c r="AB75" s="26"/>
      <c r="AC75" s="26"/>
      <c r="AD75" s="26"/>
      <c r="AE75" s="26"/>
      <c r="AF75" s="26"/>
    </row>
    <row r="76" spans="1:34" s="43" customFormat="1" x14ac:dyDescent="0.25">
      <c r="A76" s="40"/>
      <c r="B76" s="41" t="s">
        <v>11</v>
      </c>
      <c r="C76" s="79"/>
      <c r="D76" s="80"/>
      <c r="E76" s="81"/>
      <c r="F76"/>
      <c r="G76" s="79"/>
      <c r="H76" s="35">
        <v>23500.184049079755</v>
      </c>
      <c r="I76" s="80">
        <v>0</v>
      </c>
      <c r="J76" s="42"/>
      <c r="K76"/>
      <c r="L76" s="79"/>
      <c r="M76" s="35">
        <v>82880.524999999994</v>
      </c>
      <c r="N76" s="37">
        <v>7855.6498942020062</v>
      </c>
      <c r="O76" s="42"/>
      <c r="P76"/>
      <c r="Q76" s="79"/>
      <c r="R76" s="35">
        <v>29267.954971740888</v>
      </c>
      <c r="S76" s="80">
        <v>20296.121625254982</v>
      </c>
      <c r="T76" s="42"/>
      <c r="U76"/>
      <c r="V76" s="79"/>
      <c r="W76" s="35">
        <v>23667.329815027693</v>
      </c>
      <c r="X76" s="182">
        <v>38185.678646968467</v>
      </c>
      <c r="Y76" s="37">
        <v>0</v>
      </c>
      <c r="Z76" s="42"/>
      <c r="AA76"/>
      <c r="AB76" s="34">
        <f t="shared" ref="AB76:AB82" si="15">+C76+G76+L76+Q76+V76</f>
        <v>0</v>
      </c>
      <c r="AC76" s="182">
        <f t="shared" ref="AC76:AC82" si="16">D76+I76+N76+S76+X76</f>
        <v>66337.450166425464</v>
      </c>
      <c r="AD76" s="37">
        <f t="shared" ref="AD76:AD82" si="17">+D76+I76+N76+S76+Y76</f>
        <v>28151.77151945699</v>
      </c>
      <c r="AE76" s="42"/>
      <c r="AF76" s="42"/>
      <c r="AG76" s="57"/>
      <c r="AH76" s="192"/>
    </row>
    <row r="77" spans="1:34" s="43" customFormat="1" x14ac:dyDescent="0.25">
      <c r="A77" s="40"/>
      <c r="B77" s="41" t="s">
        <v>13</v>
      </c>
      <c r="C77" s="79"/>
      <c r="D77" s="80"/>
      <c r="E77" s="81"/>
      <c r="F77"/>
      <c r="G77" s="79"/>
      <c r="H77" s="35">
        <v>125028.83435582822</v>
      </c>
      <c r="I77" s="80">
        <v>107904.6518830681</v>
      </c>
      <c r="J77" s="81"/>
      <c r="K77"/>
      <c r="L77" s="79"/>
      <c r="M77" s="35">
        <v>82452.125</v>
      </c>
      <c r="N77" s="37">
        <v>7815.0449340539362</v>
      </c>
      <c r="O77" s="81"/>
      <c r="P77"/>
      <c r="Q77" s="79"/>
      <c r="R77" s="35">
        <v>178266.94627662876</v>
      </c>
      <c r="S77" s="80">
        <v>181293.82415606108</v>
      </c>
      <c r="T77" s="81"/>
      <c r="U77"/>
      <c r="V77" s="79"/>
      <c r="W77" s="35">
        <v>188313.77799979097</v>
      </c>
      <c r="X77" s="182">
        <v>190653.57206276187</v>
      </c>
      <c r="Y77" s="37">
        <v>185751.9520133789</v>
      </c>
      <c r="Z77" s="42"/>
      <c r="AA77"/>
      <c r="AB77" s="34">
        <f t="shared" si="15"/>
        <v>0</v>
      </c>
      <c r="AC77" s="182">
        <f t="shared" si="16"/>
        <v>487667.09303594497</v>
      </c>
      <c r="AD77" s="37">
        <f t="shared" si="17"/>
        <v>482765.472986562</v>
      </c>
      <c r="AE77" s="81"/>
      <c r="AF77" s="81"/>
      <c r="AG77" s="57"/>
      <c r="AH77" s="192"/>
    </row>
    <row r="78" spans="1:34" s="43" customFormat="1" x14ac:dyDescent="0.25">
      <c r="A78" s="40"/>
      <c r="B78" s="41" t="s">
        <v>14</v>
      </c>
      <c r="C78" s="79"/>
      <c r="D78" s="80"/>
      <c r="E78" s="81"/>
      <c r="F78"/>
      <c r="G78" s="79"/>
      <c r="H78" s="35">
        <v>11520.981595092024</v>
      </c>
      <c r="I78" s="80">
        <v>0</v>
      </c>
      <c r="J78" s="81"/>
      <c r="K78"/>
      <c r="L78" s="79"/>
      <c r="M78" s="35">
        <v>30957.85</v>
      </c>
      <c r="N78" s="37">
        <v>2934.272328477909</v>
      </c>
      <c r="O78" s="81"/>
      <c r="P78"/>
      <c r="Q78" s="79"/>
      <c r="R78" s="35">
        <v>14124.785417054842</v>
      </c>
      <c r="S78" s="80">
        <v>22842.41453131922</v>
      </c>
      <c r="T78" s="81"/>
      <c r="U78"/>
      <c r="V78" s="79"/>
      <c r="W78" s="35">
        <v>30398.405267008045</v>
      </c>
      <c r="X78" s="182">
        <v>19092.839323484233</v>
      </c>
      <c r="Y78" s="37">
        <v>77199.25352001391</v>
      </c>
      <c r="Z78" s="42"/>
      <c r="AA78"/>
      <c r="AB78" s="34">
        <f t="shared" si="15"/>
        <v>0</v>
      </c>
      <c r="AC78" s="182">
        <f t="shared" si="16"/>
        <v>44869.526183281363</v>
      </c>
      <c r="AD78" s="37">
        <f t="shared" si="17"/>
        <v>102975.94037981104</v>
      </c>
      <c r="AE78" s="81"/>
      <c r="AF78" s="81"/>
      <c r="AG78" s="57"/>
      <c r="AH78" s="192"/>
    </row>
    <row r="79" spans="1:34" s="43" customFormat="1" x14ac:dyDescent="0.25">
      <c r="A79" s="40"/>
      <c r="B79" s="41" t="s">
        <v>15</v>
      </c>
      <c r="C79" s="34"/>
      <c r="D79" s="80"/>
      <c r="E79" s="81"/>
      <c r="F79"/>
      <c r="G79" s="34"/>
      <c r="H79" s="35">
        <v>0</v>
      </c>
      <c r="I79" s="80">
        <v>0</v>
      </c>
      <c r="J79" s="42"/>
      <c r="K79"/>
      <c r="L79" s="34"/>
      <c r="M79" s="35">
        <v>0</v>
      </c>
      <c r="N79" s="37">
        <v>0</v>
      </c>
      <c r="O79" s="42"/>
      <c r="P79"/>
      <c r="Q79" s="34"/>
      <c r="R79" s="35">
        <v>45199.31333457549</v>
      </c>
      <c r="S79" s="80">
        <v>0</v>
      </c>
      <c r="T79" s="42"/>
      <c r="U79"/>
      <c r="V79" s="34"/>
      <c r="W79" s="35">
        <v>6948.2069181732677</v>
      </c>
      <c r="X79" s="182">
        <v>9000.9099667854243</v>
      </c>
      <c r="Y79" s="37">
        <v>0</v>
      </c>
      <c r="Z79" s="42"/>
      <c r="AA79"/>
      <c r="AB79" s="34">
        <f t="shared" si="15"/>
        <v>0</v>
      </c>
      <c r="AC79" s="182">
        <f t="shared" si="16"/>
        <v>9000.9099667854243</v>
      </c>
      <c r="AD79" s="37">
        <f t="shared" si="17"/>
        <v>0</v>
      </c>
      <c r="AE79" s="42"/>
      <c r="AF79" s="42"/>
      <c r="AG79" s="57"/>
      <c r="AH79" s="192"/>
    </row>
    <row r="80" spans="1:34" s="43" customFormat="1" x14ac:dyDescent="0.25">
      <c r="A80" s="40"/>
      <c r="B80" s="41" t="s">
        <v>16</v>
      </c>
      <c r="C80" s="34"/>
      <c r="D80" s="80"/>
      <c r="E80" s="81"/>
      <c r="F80"/>
      <c r="G80" s="34"/>
      <c r="H80" s="35">
        <v>8000</v>
      </c>
      <c r="I80" s="80">
        <v>18294.091518807578</v>
      </c>
      <c r="J80" s="42"/>
      <c r="K80"/>
      <c r="L80" s="34"/>
      <c r="M80" s="35">
        <v>9000</v>
      </c>
      <c r="N80" s="37">
        <v>14975.139999999996</v>
      </c>
      <c r="O80" s="42"/>
      <c r="P80"/>
      <c r="Q80" s="34"/>
      <c r="R80" s="35">
        <v>6000</v>
      </c>
      <c r="S80" s="80">
        <v>6238.3200000000006</v>
      </c>
      <c r="T80" s="42"/>
      <c r="U80"/>
      <c r="V80" s="34"/>
      <c r="W80" s="35">
        <v>6000</v>
      </c>
      <c r="X80" s="182">
        <v>1800</v>
      </c>
      <c r="Y80" s="37">
        <v>618.08000000000004</v>
      </c>
      <c r="Z80" s="42"/>
      <c r="AA80"/>
      <c r="AB80" s="34">
        <f t="shared" si="15"/>
        <v>0</v>
      </c>
      <c r="AC80" s="182">
        <f t="shared" si="16"/>
        <v>41307.551518807573</v>
      </c>
      <c r="AD80" s="37">
        <f t="shared" si="17"/>
        <v>40125.631518807575</v>
      </c>
      <c r="AE80" s="42"/>
      <c r="AF80" s="42"/>
      <c r="AG80" s="57"/>
      <c r="AH80" s="192"/>
    </row>
    <row r="81" spans="1:34" s="43" customFormat="1" x14ac:dyDescent="0.25">
      <c r="A81" s="40"/>
      <c r="B81" s="41" t="s">
        <v>17</v>
      </c>
      <c r="C81" s="34"/>
      <c r="D81" s="80"/>
      <c r="E81" s="81"/>
      <c r="F81"/>
      <c r="G81" s="34"/>
      <c r="H81" s="35">
        <v>6000</v>
      </c>
      <c r="I81" s="80">
        <v>0</v>
      </c>
      <c r="J81" s="42"/>
      <c r="K81"/>
      <c r="L81" s="34"/>
      <c r="M81" s="35">
        <v>0</v>
      </c>
      <c r="N81" s="37">
        <v>0</v>
      </c>
      <c r="O81" s="42"/>
      <c r="P81"/>
      <c r="Q81" s="34"/>
      <c r="R81" s="35">
        <v>5000</v>
      </c>
      <c r="S81" s="80">
        <v>0</v>
      </c>
      <c r="T81" s="42"/>
      <c r="U81"/>
      <c r="V81" s="34"/>
      <c r="W81" s="35">
        <v>5280</v>
      </c>
      <c r="X81" s="182">
        <v>14802</v>
      </c>
      <c r="Y81" s="37">
        <v>10700.852662108075</v>
      </c>
      <c r="Z81" s="42"/>
      <c r="AA81"/>
      <c r="AB81" s="34">
        <f t="shared" si="15"/>
        <v>0</v>
      </c>
      <c r="AC81" s="182">
        <f t="shared" si="16"/>
        <v>14802</v>
      </c>
      <c r="AD81" s="37">
        <f t="shared" si="17"/>
        <v>10700.852662108075</v>
      </c>
      <c r="AE81" s="42"/>
      <c r="AF81" s="42"/>
      <c r="AG81" s="57"/>
      <c r="AH81" s="192"/>
    </row>
    <row r="82" spans="1:34" s="43" customFormat="1" x14ac:dyDescent="0.25">
      <c r="A82" s="40"/>
      <c r="B82" s="41" t="s">
        <v>18</v>
      </c>
      <c r="C82" s="79"/>
      <c r="D82" s="80"/>
      <c r="E82" s="81"/>
      <c r="F82"/>
      <c r="G82" s="79"/>
      <c r="H82" s="35">
        <v>6300</v>
      </c>
      <c r="I82" s="80">
        <v>49461.706598124292</v>
      </c>
      <c r="J82" s="81"/>
      <c r="K82"/>
      <c r="L82" s="79"/>
      <c r="M82" s="35">
        <v>0</v>
      </c>
      <c r="N82" s="37">
        <v>268.86284326615078</v>
      </c>
      <c r="O82" s="81"/>
      <c r="P82"/>
      <c r="Q82" s="79"/>
      <c r="R82" s="35">
        <v>28200</v>
      </c>
      <c r="S82" s="80">
        <v>41994.979687364757</v>
      </c>
      <c r="T82" s="81"/>
      <c r="U82"/>
      <c r="V82" s="79"/>
      <c r="W82" s="35">
        <v>34452</v>
      </c>
      <c r="X82" s="182">
        <v>31521</v>
      </c>
      <c r="Y82" s="37">
        <v>27336.781804499104</v>
      </c>
      <c r="Z82" s="42"/>
      <c r="AA82"/>
      <c r="AB82" s="34">
        <f t="shared" si="15"/>
        <v>0</v>
      </c>
      <c r="AC82" s="182">
        <f t="shared" si="16"/>
        <v>123246.5491287552</v>
      </c>
      <c r="AD82" s="37">
        <f t="shared" si="17"/>
        <v>119062.3309332543</v>
      </c>
      <c r="AE82" s="81"/>
      <c r="AF82" s="81"/>
      <c r="AG82" s="57"/>
      <c r="AH82" s="192"/>
    </row>
    <row r="83" spans="1:34" x14ac:dyDescent="0.25">
      <c r="A83" s="30"/>
      <c r="B83" s="44" t="s">
        <v>19</v>
      </c>
      <c r="C83" s="46">
        <f>SUM(C76:C82)</f>
        <v>0</v>
      </c>
      <c r="D83" s="49">
        <f>SUM(D76:D82)</f>
        <v>0</v>
      </c>
      <c r="E83" s="189">
        <f>SUM(E76:E82)</f>
        <v>0</v>
      </c>
      <c r="G83" s="46">
        <f>SUM(G76:G82)</f>
        <v>0</v>
      </c>
      <c r="H83" s="47">
        <f>SUM(H76:H82)</f>
        <v>180350</v>
      </c>
      <c r="I83" s="49">
        <f>SUM(I76:I82)</f>
        <v>175660.44999999995</v>
      </c>
      <c r="J83" s="50">
        <f>+G83-I83</f>
        <v>-175660.44999999995</v>
      </c>
      <c r="L83" s="46">
        <f>SUM(L76:L82)</f>
        <v>0</v>
      </c>
      <c r="M83" s="47">
        <f>SUM(M76:M82)</f>
        <v>205290.5</v>
      </c>
      <c r="N83" s="49">
        <v>33848.97</v>
      </c>
      <c r="O83" s="50">
        <f>+M83-N83</f>
        <v>171441.53</v>
      </c>
      <c r="Q83" s="46">
        <f>SUM(Q76:Q82)</f>
        <v>0</v>
      </c>
      <c r="R83" s="47">
        <f>SUM(R76:R82)</f>
        <v>306059</v>
      </c>
      <c r="S83" s="49">
        <f>SUM(S76:S82)</f>
        <v>272665.66000000003</v>
      </c>
      <c r="T83" s="50">
        <f>+R83-S83</f>
        <v>33393.339999999967</v>
      </c>
      <c r="V83" s="46">
        <f>SUM(V76:V82)</f>
        <v>0</v>
      </c>
      <c r="W83" s="47">
        <f>SUM(W76:W82)</f>
        <v>295059.71999999997</v>
      </c>
      <c r="X83" s="183">
        <f>SUM(X76:X82)</f>
        <v>305056</v>
      </c>
      <c r="Y83" s="49">
        <v>301606.92000000004</v>
      </c>
      <c r="Z83" s="50"/>
      <c r="AB83" s="46">
        <f>SUM(AB76:AB82)</f>
        <v>0</v>
      </c>
      <c r="AC83" s="183">
        <f>SUM(AC76:AC82)</f>
        <v>787231.08</v>
      </c>
      <c r="AD83" s="49">
        <f>SUM(AD76:AD82)</f>
        <v>783782</v>
      </c>
      <c r="AE83" s="50"/>
      <c r="AF83" s="50"/>
      <c r="AG83" s="93"/>
    </row>
    <row r="84" spans="1:34" x14ac:dyDescent="0.25">
      <c r="A84" s="30"/>
      <c r="B84" s="41" t="s">
        <v>20</v>
      </c>
      <c r="C84" s="79"/>
      <c r="D84" s="80"/>
      <c r="E84" s="190"/>
      <c r="G84" s="79"/>
      <c r="H84" s="82">
        <v>80000</v>
      </c>
      <c r="I84" s="80">
        <v>48754.5</v>
      </c>
      <c r="J84" s="190"/>
      <c r="L84" s="79"/>
      <c r="M84" s="82">
        <v>60000</v>
      </c>
      <c r="N84" s="37">
        <v>57973</v>
      </c>
      <c r="O84" s="42"/>
      <c r="Q84" s="79"/>
      <c r="R84" s="35">
        <v>50126.299999999988</v>
      </c>
      <c r="S84" s="80">
        <v>43793.599999999999</v>
      </c>
      <c r="T84" s="42"/>
      <c r="V84" s="79"/>
      <c r="W84" s="35">
        <v>39342.442105263159</v>
      </c>
      <c r="X84" s="182">
        <v>48326</v>
      </c>
      <c r="Y84" s="37">
        <v>54741.4</v>
      </c>
      <c r="Z84" s="42"/>
      <c r="AB84" s="34">
        <f>+C84+G84+L84+Q84+V84</f>
        <v>0</v>
      </c>
      <c r="AC84" s="182">
        <f>D84+I84+N84+S84+X84</f>
        <v>198847.1</v>
      </c>
      <c r="AD84" s="37">
        <f>+D84+I84+N84+S84+Y84</f>
        <v>205262.5</v>
      </c>
      <c r="AE84" s="42"/>
      <c r="AF84" s="42"/>
    </row>
    <row r="85" spans="1:34" s="84" customFormat="1" ht="18.75" x14ac:dyDescent="0.3">
      <c r="A85" s="30"/>
      <c r="B85" s="83" t="s">
        <v>36</v>
      </c>
      <c r="C85" s="53">
        <f>C83+C84</f>
        <v>0</v>
      </c>
      <c r="D85" s="56">
        <f>D83+D84</f>
        <v>0</v>
      </c>
      <c r="E85" s="91">
        <f>E83+E84</f>
        <v>0</v>
      </c>
      <c r="F85"/>
      <c r="G85" s="53">
        <f>G83+G84</f>
        <v>0</v>
      </c>
      <c r="H85" s="54">
        <f>H83+H84</f>
        <v>260350</v>
      </c>
      <c r="I85" s="56">
        <f>I83+I84</f>
        <v>224414.94999999995</v>
      </c>
      <c r="J85" s="50">
        <f>+G85-I85</f>
        <v>-224414.94999999995</v>
      </c>
      <c r="K85"/>
      <c r="L85" s="53">
        <f>L83+L84</f>
        <v>0</v>
      </c>
      <c r="M85" s="54">
        <f>M83+M84</f>
        <v>265290.5</v>
      </c>
      <c r="N85" s="56">
        <f>N83+N84</f>
        <v>91821.97</v>
      </c>
      <c r="O85" s="50">
        <f>+M85-N85</f>
        <v>173468.53</v>
      </c>
      <c r="P85"/>
      <c r="Q85" s="53">
        <f>Q83+Q84</f>
        <v>0</v>
      </c>
      <c r="R85" s="54">
        <f>R83+R84</f>
        <v>356185.3</v>
      </c>
      <c r="S85" s="56">
        <f>S83+S84</f>
        <v>316459.26</v>
      </c>
      <c r="T85" s="50">
        <f>+R85-S85</f>
        <v>39726.039999999979</v>
      </c>
      <c r="U85"/>
      <c r="V85" s="53">
        <f>V83+V84</f>
        <v>0</v>
      </c>
      <c r="W85" s="54">
        <f>W83+W84</f>
        <v>334402.16210526315</v>
      </c>
      <c r="X85" s="184">
        <f>X83+X84</f>
        <v>353382</v>
      </c>
      <c r="Y85" s="49">
        <v>356348.32000000007</v>
      </c>
      <c r="Z85" s="185">
        <f>V85-W85</f>
        <v>-334402.16210526315</v>
      </c>
      <c r="AA85"/>
      <c r="AB85" s="53">
        <f>AB83+AB84</f>
        <v>0</v>
      </c>
      <c r="AC85" s="184">
        <f>AC83+AC84</f>
        <v>986078.17999999993</v>
      </c>
      <c r="AD85" s="56">
        <f>AD83+AD84</f>
        <v>989044.5</v>
      </c>
      <c r="AE85" s="50"/>
      <c r="AF85" s="186"/>
    </row>
    <row r="86" spans="1:34" s="87" customFormat="1" ht="18.75" x14ac:dyDescent="0.3">
      <c r="A86" s="85"/>
      <c r="B86" s="85"/>
      <c r="C86" s="69"/>
      <c r="D86" s="72"/>
      <c r="E86" s="85"/>
      <c r="F86"/>
      <c r="G86" s="69"/>
      <c r="H86" s="70"/>
      <c r="I86" s="72"/>
      <c r="J86" s="85"/>
      <c r="K86"/>
      <c r="L86" s="69"/>
      <c r="M86" s="70"/>
      <c r="N86" s="72"/>
      <c r="O86" s="85"/>
      <c r="P86"/>
      <c r="Q86" s="69"/>
      <c r="R86" s="70"/>
      <c r="S86" s="72"/>
      <c r="T86" s="85"/>
      <c r="U86"/>
      <c r="V86" s="69"/>
      <c r="W86" s="70"/>
      <c r="X86" s="188"/>
      <c r="Y86" s="72"/>
      <c r="Z86" s="67"/>
      <c r="AA86"/>
      <c r="AB86" s="69"/>
      <c r="AC86" s="188"/>
      <c r="AD86" s="72"/>
      <c r="AE86" s="85"/>
      <c r="AF86" s="85"/>
    </row>
    <row r="87" spans="1:34" s="43" customFormat="1" ht="18.75" x14ac:dyDescent="0.3">
      <c r="A87" s="94" t="s">
        <v>51</v>
      </c>
      <c r="B87" s="95" t="s">
        <v>52</v>
      </c>
      <c r="C87" s="26"/>
      <c r="D87" s="26"/>
      <c r="E87" s="26"/>
      <c r="F87"/>
      <c r="G87" s="26"/>
      <c r="H87" s="26"/>
      <c r="I87" s="26"/>
      <c r="J87" s="26"/>
      <c r="K87"/>
      <c r="L87" s="26"/>
      <c r="M87" s="26"/>
      <c r="N87" s="26"/>
      <c r="O87" s="26"/>
      <c r="P87"/>
      <c r="Q87" s="26"/>
      <c r="R87" s="26"/>
      <c r="S87" s="26"/>
      <c r="T87" s="26"/>
      <c r="U87"/>
      <c r="V87" s="26"/>
      <c r="W87" s="26"/>
      <c r="X87" s="26"/>
      <c r="Y87" s="26"/>
      <c r="Z87" s="26"/>
      <c r="AA87"/>
      <c r="AB87" s="26"/>
      <c r="AC87" s="26"/>
      <c r="AD87" s="26"/>
      <c r="AE87" s="26"/>
      <c r="AF87" s="26"/>
    </row>
    <row r="88" spans="1:34" s="43" customFormat="1" ht="18" customHeight="1" x14ac:dyDescent="0.25">
      <c r="A88" s="40"/>
      <c r="B88" s="41" t="s">
        <v>11</v>
      </c>
      <c r="C88" s="79"/>
      <c r="D88" s="80"/>
      <c r="E88" s="81"/>
      <c r="F88"/>
      <c r="G88" s="79"/>
      <c r="H88" s="35"/>
      <c r="I88" s="80"/>
      <c r="J88" s="42"/>
      <c r="K88"/>
      <c r="L88" s="79"/>
      <c r="M88" s="35"/>
      <c r="N88" s="37">
        <v>0</v>
      </c>
      <c r="O88" s="42"/>
      <c r="P88"/>
      <c r="Q88" s="79"/>
      <c r="R88" s="35">
        <v>0</v>
      </c>
      <c r="S88" s="80">
        <v>82450.038956628152</v>
      </c>
      <c r="T88" s="42"/>
      <c r="U88"/>
      <c r="V88" s="79"/>
      <c r="W88" s="35">
        <v>6350.1419183266426</v>
      </c>
      <c r="X88" s="182">
        <v>0</v>
      </c>
      <c r="Y88" s="37">
        <v>0</v>
      </c>
      <c r="Z88" s="42"/>
      <c r="AA88"/>
      <c r="AB88" s="34">
        <f t="shared" ref="AB88:AB94" si="18">+C88+G88+L88+Q88+V88</f>
        <v>0</v>
      </c>
      <c r="AC88" s="182">
        <f t="shared" ref="AC88:AC94" si="19">D88+I88+N88+S88+X88</f>
        <v>82450.038956628152</v>
      </c>
      <c r="AD88" s="37">
        <f t="shared" ref="AD88:AD94" si="20">+D88+I88+N88+S88+Y88</f>
        <v>82450.038956628152</v>
      </c>
      <c r="AE88" s="42"/>
      <c r="AF88" s="42"/>
      <c r="AH88" s="192"/>
    </row>
    <row r="89" spans="1:34" s="43" customFormat="1" x14ac:dyDescent="0.25">
      <c r="A89" s="40"/>
      <c r="B89" s="41" t="s">
        <v>13</v>
      </c>
      <c r="C89" s="79"/>
      <c r="D89" s="80"/>
      <c r="E89" s="81"/>
      <c r="F89"/>
      <c r="G89" s="79"/>
      <c r="H89" s="35"/>
      <c r="I89" s="80"/>
      <c r="J89" s="81"/>
      <c r="K89"/>
      <c r="L89" s="79"/>
      <c r="M89" s="35"/>
      <c r="N89" s="37">
        <v>0</v>
      </c>
      <c r="O89" s="81"/>
      <c r="P89"/>
      <c r="Q89" s="79"/>
      <c r="R89" s="35">
        <v>370700</v>
      </c>
      <c r="S89" s="80">
        <v>102665.12906665278</v>
      </c>
      <c r="T89" s="81"/>
      <c r="U89"/>
      <c r="V89" s="79"/>
      <c r="W89" s="35">
        <v>166843.62876211421</v>
      </c>
      <c r="X89" s="182">
        <v>92402.625751391461</v>
      </c>
      <c r="Y89" s="37">
        <v>49483.022913367538</v>
      </c>
      <c r="Z89" s="42"/>
      <c r="AA89"/>
      <c r="AB89" s="34">
        <f t="shared" si="18"/>
        <v>0</v>
      </c>
      <c r="AC89" s="182">
        <f t="shared" si="19"/>
        <v>195067.75481804425</v>
      </c>
      <c r="AD89" s="37">
        <f t="shared" si="20"/>
        <v>152148.15198002031</v>
      </c>
      <c r="AE89" s="81"/>
      <c r="AF89" s="81"/>
      <c r="AG89" s="57"/>
      <c r="AH89" s="192"/>
    </row>
    <row r="90" spans="1:34" s="43" customFormat="1" x14ac:dyDescent="0.25">
      <c r="A90" s="40"/>
      <c r="B90" s="41" t="s">
        <v>14</v>
      </c>
      <c r="C90" s="79"/>
      <c r="D90" s="80"/>
      <c r="E90" s="81"/>
      <c r="F90"/>
      <c r="G90" s="79"/>
      <c r="H90" s="35"/>
      <c r="I90" s="80"/>
      <c r="J90" s="81"/>
      <c r="K90"/>
      <c r="L90" s="79"/>
      <c r="M90" s="35"/>
      <c r="N90" s="37">
        <v>0</v>
      </c>
      <c r="O90" s="81"/>
      <c r="P90"/>
      <c r="Q90" s="79"/>
      <c r="R90" s="35">
        <v>0</v>
      </c>
      <c r="S90" s="80">
        <v>3375.3546991899866</v>
      </c>
      <c r="T90" s="81"/>
      <c r="U90"/>
      <c r="V90" s="79"/>
      <c r="W90" s="35">
        <v>75141.229319559148</v>
      </c>
      <c r="X90" s="182">
        <v>57585.374248608532</v>
      </c>
      <c r="Y90" s="37">
        <v>17865.257086632464</v>
      </c>
      <c r="Z90" s="42"/>
      <c r="AA90"/>
      <c r="AB90" s="34">
        <f t="shared" si="18"/>
        <v>0</v>
      </c>
      <c r="AC90" s="182">
        <f t="shared" si="19"/>
        <v>60960.728947798518</v>
      </c>
      <c r="AD90" s="37">
        <f t="shared" si="20"/>
        <v>21240.61178582245</v>
      </c>
      <c r="AE90" s="81"/>
      <c r="AF90" s="81"/>
      <c r="AH90" s="192"/>
    </row>
    <row r="91" spans="1:34" s="43" customFormat="1" x14ac:dyDescent="0.25">
      <c r="A91" s="40"/>
      <c r="B91" s="41" t="s">
        <v>15</v>
      </c>
      <c r="C91" s="34"/>
      <c r="D91" s="80"/>
      <c r="E91" s="81"/>
      <c r="F91"/>
      <c r="G91" s="34"/>
      <c r="H91" s="35"/>
      <c r="I91" s="80"/>
      <c r="J91" s="42"/>
      <c r="K91"/>
      <c r="L91" s="34"/>
      <c r="M91" s="35"/>
      <c r="N91" s="37">
        <v>0</v>
      </c>
      <c r="O91" s="42"/>
      <c r="P91"/>
      <c r="Q91" s="34"/>
      <c r="R91" s="35">
        <v>0</v>
      </c>
      <c r="S91" s="80">
        <v>13247.311762421543</v>
      </c>
      <c r="T91" s="42"/>
      <c r="U91"/>
      <c r="V91" s="34"/>
      <c r="W91" s="35">
        <v>0</v>
      </c>
      <c r="X91" s="182">
        <v>0</v>
      </c>
      <c r="Y91" s="37">
        <v>0</v>
      </c>
      <c r="Z91" s="42"/>
      <c r="AA91"/>
      <c r="AB91" s="34">
        <f t="shared" si="18"/>
        <v>0</v>
      </c>
      <c r="AC91" s="182">
        <f t="shared" si="19"/>
        <v>13247.311762421543</v>
      </c>
      <c r="AD91" s="37">
        <f t="shared" si="20"/>
        <v>13247.311762421543</v>
      </c>
      <c r="AE91" s="42"/>
      <c r="AF91" s="42"/>
      <c r="AH91" s="192"/>
    </row>
    <row r="92" spans="1:34" s="43" customFormat="1" x14ac:dyDescent="0.25">
      <c r="A92" s="40"/>
      <c r="B92" s="41" t="s">
        <v>16</v>
      </c>
      <c r="C92" s="34"/>
      <c r="D92" s="80"/>
      <c r="E92" s="81"/>
      <c r="F92"/>
      <c r="G92" s="34"/>
      <c r="H92" s="35"/>
      <c r="I92" s="80"/>
      <c r="J92" s="42"/>
      <c r="K92"/>
      <c r="L92" s="34"/>
      <c r="M92" s="35"/>
      <c r="N92" s="37">
        <v>0</v>
      </c>
      <c r="O92" s="42"/>
      <c r="P92"/>
      <c r="Q92" s="34"/>
      <c r="R92" s="35">
        <v>8000</v>
      </c>
      <c r="S92" s="80">
        <v>6015.64</v>
      </c>
      <c r="T92" s="42"/>
      <c r="U92"/>
      <c r="V92" s="34"/>
      <c r="W92" s="35">
        <v>8000</v>
      </c>
      <c r="X92" s="182">
        <v>1000</v>
      </c>
      <c r="Y92" s="37">
        <v>48</v>
      </c>
      <c r="Z92" s="42"/>
      <c r="AA92"/>
      <c r="AB92" s="34">
        <f t="shared" si="18"/>
        <v>0</v>
      </c>
      <c r="AC92" s="182">
        <f t="shared" si="19"/>
        <v>7015.64</v>
      </c>
      <c r="AD92" s="37">
        <f t="shared" si="20"/>
        <v>6063.64</v>
      </c>
      <c r="AE92" s="42"/>
      <c r="AF92" s="42"/>
      <c r="AH92" s="192"/>
    </row>
    <row r="93" spans="1:34" s="43" customFormat="1" x14ac:dyDescent="0.25">
      <c r="A93" s="40"/>
      <c r="B93" s="41" t="s">
        <v>17</v>
      </c>
      <c r="C93" s="34"/>
      <c r="D93" s="80"/>
      <c r="E93" s="81"/>
      <c r="F93"/>
      <c r="G93" s="34"/>
      <c r="H93" s="35"/>
      <c r="I93" s="80"/>
      <c r="J93" s="42"/>
      <c r="K93"/>
      <c r="L93" s="34"/>
      <c r="M93" s="35"/>
      <c r="N93" s="37">
        <v>0</v>
      </c>
      <c r="O93" s="42"/>
      <c r="P93"/>
      <c r="Q93" s="34"/>
      <c r="R93" s="35">
        <v>0</v>
      </c>
      <c r="S93" s="80">
        <v>1338.2119409068623</v>
      </c>
      <c r="T93" s="42"/>
      <c r="U93"/>
      <c r="V93" s="34"/>
      <c r="W93" s="35">
        <v>1210</v>
      </c>
      <c r="X93" s="182">
        <v>2138.6880000000001</v>
      </c>
      <c r="Y93" s="37">
        <v>0</v>
      </c>
      <c r="Z93" s="42"/>
      <c r="AA93"/>
      <c r="AB93" s="34">
        <f t="shared" si="18"/>
        <v>0</v>
      </c>
      <c r="AC93" s="182">
        <f t="shared" si="19"/>
        <v>3476.8999409068624</v>
      </c>
      <c r="AD93" s="37">
        <f t="shared" si="20"/>
        <v>1338.2119409068623</v>
      </c>
      <c r="AE93" s="42"/>
      <c r="AF93" s="42"/>
      <c r="AH93" s="192"/>
    </row>
    <row r="94" spans="1:34" s="43" customFormat="1" x14ac:dyDescent="0.25">
      <c r="A94" s="40"/>
      <c r="B94" s="41" t="s">
        <v>18</v>
      </c>
      <c r="C94" s="79"/>
      <c r="D94" s="80"/>
      <c r="E94" s="81"/>
      <c r="F94"/>
      <c r="G94" s="79"/>
      <c r="H94" s="35"/>
      <c r="I94" s="80"/>
      <c r="J94" s="81"/>
      <c r="K94"/>
      <c r="L94" s="79"/>
      <c r="M94" s="35"/>
      <c r="N94" s="37">
        <v>0</v>
      </c>
      <c r="O94" s="81"/>
      <c r="P94"/>
      <c r="Q94" s="79"/>
      <c r="R94" s="35">
        <v>1000</v>
      </c>
      <c r="S94" s="80">
        <v>802.34357420067772</v>
      </c>
      <c r="T94" s="81"/>
      <c r="U94"/>
      <c r="V94" s="79"/>
      <c r="W94" s="35">
        <v>0</v>
      </c>
      <c r="X94" s="182">
        <v>1000</v>
      </c>
      <c r="Y94" s="37">
        <v>0</v>
      </c>
      <c r="Z94" s="42"/>
      <c r="AA94"/>
      <c r="AB94" s="34">
        <f t="shared" si="18"/>
        <v>0</v>
      </c>
      <c r="AC94" s="182">
        <f t="shared" si="19"/>
        <v>1802.3435742006777</v>
      </c>
      <c r="AD94" s="37">
        <f t="shared" si="20"/>
        <v>802.34357420067772</v>
      </c>
      <c r="AE94" s="81"/>
      <c r="AF94" s="81"/>
      <c r="AH94" s="192"/>
    </row>
    <row r="95" spans="1:34" x14ac:dyDescent="0.25">
      <c r="A95" s="30"/>
      <c r="B95" s="44" t="s">
        <v>19</v>
      </c>
      <c r="C95" s="46">
        <f>SUM(C88:C94)</f>
        <v>0</v>
      </c>
      <c r="D95" s="49">
        <f>SUM(D88:D94)</f>
        <v>0</v>
      </c>
      <c r="E95" s="189">
        <f>SUM(E88:E94)</f>
        <v>0</v>
      </c>
      <c r="G95" s="46">
        <f>SUM(G88:G94)</f>
        <v>0</v>
      </c>
      <c r="H95" s="47">
        <f>SUM(H88:H94)</f>
        <v>0</v>
      </c>
      <c r="I95" s="49">
        <f>SUM(I88:I94)</f>
        <v>0</v>
      </c>
      <c r="J95" s="50">
        <f>+G95-I95</f>
        <v>0</v>
      </c>
      <c r="L95" s="46">
        <f>SUM(L88:L94)</f>
        <v>0</v>
      </c>
      <c r="M95" s="47">
        <f>SUM(M88:M94)</f>
        <v>0</v>
      </c>
      <c r="N95" s="49">
        <v>0</v>
      </c>
      <c r="O95" s="50">
        <f>+M95-N95</f>
        <v>0</v>
      </c>
      <c r="Q95" s="46">
        <f>SUM(Q88:Q94)</f>
        <v>0</v>
      </c>
      <c r="R95" s="47">
        <f>SUM(R88:R94)</f>
        <v>379700</v>
      </c>
      <c r="S95" s="49">
        <f>SUM(S88:S94)</f>
        <v>209894.02999999997</v>
      </c>
      <c r="T95" s="50">
        <f>+R95-S95</f>
        <v>169805.97000000003</v>
      </c>
      <c r="V95" s="46">
        <f>SUM(V88:V94)</f>
        <v>0</v>
      </c>
      <c r="W95" s="47">
        <f>SUM(W88:W94)</f>
        <v>257545</v>
      </c>
      <c r="X95" s="183">
        <f>SUM(X88:X94)</f>
        <v>154126.68799999999</v>
      </c>
      <c r="Y95" s="49">
        <v>67396.28</v>
      </c>
      <c r="Z95" s="50"/>
      <c r="AB95" s="46">
        <f>SUM(AB88:AB94)</f>
        <v>0</v>
      </c>
      <c r="AC95" s="183">
        <f>SUM(AC88:AC94)</f>
        <v>364020.71800000005</v>
      </c>
      <c r="AD95" s="49">
        <f>SUM(AD88:AD94)</f>
        <v>277290.31000000006</v>
      </c>
      <c r="AE95" s="50"/>
      <c r="AF95" s="50"/>
      <c r="AG95" s="93"/>
    </row>
    <row r="96" spans="1:34" x14ac:dyDescent="0.25">
      <c r="A96" s="30"/>
      <c r="B96" s="41" t="s">
        <v>20</v>
      </c>
      <c r="C96" s="79"/>
      <c r="D96" s="80"/>
      <c r="E96" s="190"/>
      <c r="G96" s="79"/>
      <c r="H96" s="82"/>
      <c r="I96" s="80"/>
      <c r="J96" s="190"/>
      <c r="L96" s="79"/>
      <c r="M96" s="82"/>
      <c r="N96" s="37">
        <v>0</v>
      </c>
      <c r="O96" s="42"/>
      <c r="Q96" s="79"/>
      <c r="R96" s="35">
        <v>48212</v>
      </c>
      <c r="S96" s="80">
        <v>49179.100000000006</v>
      </c>
      <c r="T96" s="42"/>
      <c r="V96" s="79"/>
      <c r="W96" s="35">
        <v>52086.442105263159</v>
      </c>
      <c r="X96" s="182">
        <v>47212</v>
      </c>
      <c r="Y96" s="37">
        <v>43797.5</v>
      </c>
      <c r="Z96" s="42"/>
      <c r="AB96" s="34">
        <f>+C96+G96+L96+Q96+V96</f>
        <v>0</v>
      </c>
      <c r="AC96" s="182">
        <f>D96+I96+N96+S96+X96</f>
        <v>96391.1</v>
      </c>
      <c r="AD96" s="37">
        <f>+D96+I96+N96+S96+Y96</f>
        <v>92976.6</v>
      </c>
      <c r="AE96" s="42"/>
      <c r="AF96" s="42"/>
    </row>
    <row r="97" spans="1:32" s="84" customFormat="1" ht="18.75" x14ac:dyDescent="0.3">
      <c r="A97" s="30"/>
      <c r="B97" s="83" t="s">
        <v>36</v>
      </c>
      <c r="C97" s="53">
        <f>C95+C96</f>
        <v>0</v>
      </c>
      <c r="D97" s="56">
        <f>D95+D96</f>
        <v>0</v>
      </c>
      <c r="E97" s="91">
        <f>E95+E96</f>
        <v>0</v>
      </c>
      <c r="F97"/>
      <c r="G97" s="53">
        <f>G95+G96</f>
        <v>0</v>
      </c>
      <c r="H97" s="54">
        <f>H95+H96</f>
        <v>0</v>
      </c>
      <c r="I97" s="56">
        <f>I95+I96</f>
        <v>0</v>
      </c>
      <c r="J97" s="50">
        <f>+G97-I97</f>
        <v>0</v>
      </c>
      <c r="K97"/>
      <c r="L97" s="53">
        <f>L95+L96</f>
        <v>0</v>
      </c>
      <c r="M97" s="54">
        <f>M95+M96</f>
        <v>0</v>
      </c>
      <c r="N97" s="56">
        <f>N95+N96</f>
        <v>0</v>
      </c>
      <c r="O97" s="50">
        <f>+M97-N97</f>
        <v>0</v>
      </c>
      <c r="P97"/>
      <c r="Q97" s="53">
        <f>Q95+Q96</f>
        <v>0</v>
      </c>
      <c r="R97" s="54">
        <f>R95+R96</f>
        <v>427912</v>
      </c>
      <c r="S97" s="56">
        <f>S95+S96</f>
        <v>259073.12999999998</v>
      </c>
      <c r="T97" s="50">
        <f>+R97-S97</f>
        <v>168838.87000000002</v>
      </c>
      <c r="U97"/>
      <c r="V97" s="53">
        <f>V95+V96</f>
        <v>0</v>
      </c>
      <c r="W97" s="54">
        <f>W95+W96</f>
        <v>309631.44210526318</v>
      </c>
      <c r="X97" s="184">
        <f>X95+X96</f>
        <v>201338.68799999999</v>
      </c>
      <c r="Y97" s="49">
        <v>111193.78</v>
      </c>
      <c r="Z97" s="185">
        <f>V97-W97</f>
        <v>-309631.44210526318</v>
      </c>
      <c r="AA97"/>
      <c r="AB97" s="53">
        <f>AB95+AB96</f>
        <v>0</v>
      </c>
      <c r="AC97" s="184">
        <f>AC95+AC96</f>
        <v>460411.81800000009</v>
      </c>
      <c r="AD97" s="56">
        <f>AD95+AD96</f>
        <v>370266.91000000003</v>
      </c>
      <c r="AE97" s="50"/>
      <c r="AF97" s="186"/>
    </row>
    <row r="98" spans="1:32" s="87" customFormat="1" ht="18.75" x14ac:dyDescent="0.3">
      <c r="A98" s="85"/>
      <c r="B98" s="85"/>
      <c r="C98" s="69"/>
      <c r="D98" s="72"/>
      <c r="E98" s="85"/>
      <c r="F98"/>
      <c r="G98" s="69"/>
      <c r="H98" s="70"/>
      <c r="I98" s="72"/>
      <c r="J98" s="85"/>
      <c r="K98"/>
      <c r="L98" s="69"/>
      <c r="M98" s="70"/>
      <c r="N98" s="72"/>
      <c r="O98" s="85"/>
      <c r="P98"/>
      <c r="Q98" s="69"/>
      <c r="R98" s="70"/>
      <c r="S98" s="72"/>
      <c r="T98" s="85"/>
      <c r="U98"/>
      <c r="V98" s="69"/>
      <c r="W98" s="70"/>
      <c r="X98" s="188"/>
      <c r="Y98" s="72"/>
      <c r="Z98" s="67"/>
      <c r="AA98"/>
      <c r="AB98" s="69"/>
      <c r="AC98" s="188"/>
      <c r="AD98" s="72"/>
      <c r="AE98" s="85"/>
      <c r="AF98" s="85"/>
    </row>
    <row r="99" spans="1:32" s="43" customFormat="1" x14ac:dyDescent="0.25">
      <c r="A99" s="94" t="s">
        <v>54</v>
      </c>
      <c r="B99" s="25" t="s">
        <v>43</v>
      </c>
      <c r="C99" s="26"/>
      <c r="D99" s="26"/>
      <c r="E99" s="26"/>
      <c r="F99"/>
      <c r="G99" s="26"/>
      <c r="H99" s="26"/>
      <c r="I99" s="26"/>
      <c r="J99" s="26"/>
      <c r="K99"/>
      <c r="L99" s="26"/>
      <c r="M99" s="26"/>
      <c r="N99" s="26"/>
      <c r="O99" s="26"/>
      <c r="P99"/>
      <c r="Q99" s="26"/>
      <c r="R99" s="26"/>
      <c r="S99" s="26"/>
      <c r="T99" s="26"/>
      <c r="U99"/>
      <c r="V99" s="26"/>
      <c r="W99" s="26"/>
      <c r="X99" s="26"/>
      <c r="Y99" s="26"/>
      <c r="Z99" s="26"/>
      <c r="AA99"/>
      <c r="AB99" s="26"/>
      <c r="AC99" s="26"/>
      <c r="AD99" s="26"/>
      <c r="AE99" s="26"/>
      <c r="AF99" s="26"/>
    </row>
    <row r="100" spans="1:32" s="43" customFormat="1" x14ac:dyDescent="0.25">
      <c r="A100" s="40"/>
      <c r="B100" s="41" t="s">
        <v>11</v>
      </c>
      <c r="C100" s="79"/>
      <c r="D100" s="80"/>
      <c r="E100" s="81"/>
      <c r="F100"/>
      <c r="G100" s="79"/>
      <c r="H100" s="35">
        <v>23500.184049079755</v>
      </c>
      <c r="I100" s="80">
        <v>0</v>
      </c>
      <c r="J100" s="42"/>
      <c r="K100"/>
      <c r="L100" s="79"/>
      <c r="M100" s="35">
        <v>20232.74692666384</v>
      </c>
      <c r="N100" s="37">
        <v>0</v>
      </c>
      <c r="O100" s="42"/>
      <c r="P100"/>
      <c r="Q100" s="79"/>
      <c r="R100" s="35"/>
      <c r="S100" s="37"/>
      <c r="T100" s="42"/>
      <c r="U100"/>
      <c r="V100" s="79"/>
      <c r="W100" s="35">
        <v>0</v>
      </c>
      <c r="X100" s="182">
        <v>0</v>
      </c>
      <c r="Y100" s="37"/>
      <c r="Z100" s="42"/>
      <c r="AA100"/>
      <c r="AB100" s="34">
        <f t="shared" ref="AB100:AB106" si="21">+C100+G100+L100+Q100+V100</f>
        <v>0</v>
      </c>
      <c r="AC100" s="182">
        <f t="shared" ref="AC100:AC106" si="22">D100+I100+N100+S100+X100</f>
        <v>0</v>
      </c>
      <c r="AD100" s="37">
        <f t="shared" ref="AD100:AD106" si="23">+D100+I100+N100+S100+Y100</f>
        <v>0</v>
      </c>
      <c r="AE100" s="42"/>
      <c r="AF100" s="42"/>
    </row>
    <row r="101" spans="1:32" s="43" customFormat="1" x14ac:dyDescent="0.25">
      <c r="A101" s="40"/>
      <c r="B101" s="41" t="s">
        <v>13</v>
      </c>
      <c r="C101" s="79"/>
      <c r="D101" s="80"/>
      <c r="E101" s="81"/>
      <c r="F101"/>
      <c r="G101" s="79"/>
      <c r="H101" s="35">
        <v>125028.83435582822</v>
      </c>
      <c r="I101" s="80">
        <v>0</v>
      </c>
      <c r="J101" s="81"/>
      <c r="K101"/>
      <c r="L101" s="79"/>
      <c r="M101" s="35">
        <v>45086.901229334464</v>
      </c>
      <c r="N101" s="37">
        <v>0</v>
      </c>
      <c r="O101" s="81"/>
      <c r="P101"/>
      <c r="Q101" s="79"/>
      <c r="R101" s="35"/>
      <c r="S101" s="37"/>
      <c r="T101" s="81"/>
      <c r="U101"/>
      <c r="V101" s="79"/>
      <c r="W101" s="35">
        <v>0</v>
      </c>
      <c r="X101" s="182">
        <v>0</v>
      </c>
      <c r="Y101" s="37"/>
      <c r="Z101" s="42"/>
      <c r="AA101"/>
      <c r="AB101" s="34">
        <f t="shared" si="21"/>
        <v>0</v>
      </c>
      <c r="AC101" s="182">
        <f t="shared" si="22"/>
        <v>0</v>
      </c>
      <c r="AD101" s="37">
        <f t="shared" si="23"/>
        <v>0</v>
      </c>
      <c r="AE101" s="81"/>
      <c r="AF101" s="81"/>
    </row>
    <row r="102" spans="1:32" s="43" customFormat="1" x14ac:dyDescent="0.25">
      <c r="A102" s="40"/>
      <c r="B102" s="41" t="s">
        <v>14</v>
      </c>
      <c r="C102" s="79"/>
      <c r="D102" s="80"/>
      <c r="E102" s="81"/>
      <c r="F102"/>
      <c r="G102" s="79"/>
      <c r="H102" s="35">
        <v>11520.981595092024</v>
      </c>
      <c r="I102" s="80">
        <v>0</v>
      </c>
      <c r="J102" s="81"/>
      <c r="K102"/>
      <c r="L102" s="79"/>
      <c r="M102" s="35">
        <v>67630.351844001692</v>
      </c>
      <c r="N102" s="37">
        <v>0</v>
      </c>
      <c r="O102" s="81"/>
      <c r="P102"/>
      <c r="Q102" s="79"/>
      <c r="R102" s="35"/>
      <c r="S102" s="37"/>
      <c r="T102" s="81"/>
      <c r="U102"/>
      <c r="V102" s="79"/>
      <c r="W102" s="35">
        <v>0</v>
      </c>
      <c r="X102" s="182">
        <v>0</v>
      </c>
      <c r="Y102" s="37"/>
      <c r="Z102" s="42"/>
      <c r="AA102"/>
      <c r="AB102" s="34">
        <f t="shared" si="21"/>
        <v>0</v>
      </c>
      <c r="AC102" s="182">
        <f t="shared" si="22"/>
        <v>0</v>
      </c>
      <c r="AD102" s="37">
        <f t="shared" si="23"/>
        <v>0</v>
      </c>
      <c r="AE102" s="81"/>
      <c r="AF102" s="81"/>
    </row>
    <row r="103" spans="1:32" s="43" customFormat="1" x14ac:dyDescent="0.25">
      <c r="A103" s="40"/>
      <c r="B103" s="41" t="s">
        <v>15</v>
      </c>
      <c r="C103" s="34"/>
      <c r="D103" s="80"/>
      <c r="E103" s="81"/>
      <c r="F103"/>
      <c r="G103" s="34"/>
      <c r="H103" s="35">
        <v>0</v>
      </c>
      <c r="I103" s="80">
        <v>0</v>
      </c>
      <c r="J103" s="42"/>
      <c r="K103"/>
      <c r="L103" s="34"/>
      <c r="M103" s="35">
        <v>0</v>
      </c>
      <c r="N103" s="37">
        <v>0</v>
      </c>
      <c r="O103" s="42"/>
      <c r="P103"/>
      <c r="Q103" s="34"/>
      <c r="R103" s="35"/>
      <c r="S103" s="37"/>
      <c r="T103" s="42"/>
      <c r="U103"/>
      <c r="V103" s="34"/>
      <c r="W103" s="35">
        <v>0</v>
      </c>
      <c r="X103" s="182">
        <v>0</v>
      </c>
      <c r="Y103" s="37"/>
      <c r="Z103" s="42"/>
      <c r="AA103"/>
      <c r="AB103" s="34">
        <f t="shared" si="21"/>
        <v>0</v>
      </c>
      <c r="AC103" s="182">
        <f t="shared" si="22"/>
        <v>0</v>
      </c>
      <c r="AD103" s="37">
        <f t="shared" si="23"/>
        <v>0</v>
      </c>
      <c r="AE103" s="42"/>
      <c r="AF103" s="42"/>
    </row>
    <row r="104" spans="1:32" s="43" customFormat="1" x14ac:dyDescent="0.25">
      <c r="A104" s="40"/>
      <c r="B104" s="41" t="s">
        <v>16</v>
      </c>
      <c r="C104" s="34"/>
      <c r="D104" s="80"/>
      <c r="E104" s="81"/>
      <c r="F104"/>
      <c r="G104" s="34"/>
      <c r="H104" s="35">
        <v>8000</v>
      </c>
      <c r="I104" s="80">
        <v>7713.41</v>
      </c>
      <c r="J104" s="42"/>
      <c r="K104"/>
      <c r="L104" s="34"/>
      <c r="M104" s="35">
        <v>5000</v>
      </c>
      <c r="N104" s="37">
        <v>0</v>
      </c>
      <c r="O104" s="42"/>
      <c r="P104"/>
      <c r="Q104" s="34"/>
      <c r="R104" s="35"/>
      <c r="S104" s="37"/>
      <c r="T104" s="42"/>
      <c r="U104"/>
      <c r="V104" s="34"/>
      <c r="W104" s="35">
        <v>0</v>
      </c>
      <c r="X104" s="182">
        <v>0</v>
      </c>
      <c r="Y104" s="37"/>
      <c r="Z104" s="42"/>
      <c r="AA104"/>
      <c r="AB104" s="34">
        <f t="shared" si="21"/>
        <v>0</v>
      </c>
      <c r="AC104" s="182">
        <f t="shared" si="22"/>
        <v>7713.41</v>
      </c>
      <c r="AD104" s="37">
        <f t="shared" si="23"/>
        <v>7713.41</v>
      </c>
      <c r="AE104" s="42"/>
      <c r="AF104" s="42"/>
    </row>
    <row r="105" spans="1:32" s="43" customFormat="1" x14ac:dyDescent="0.25">
      <c r="A105" s="40"/>
      <c r="B105" s="41" t="s">
        <v>17</v>
      </c>
      <c r="C105" s="34"/>
      <c r="D105" s="80"/>
      <c r="E105" s="81"/>
      <c r="F105"/>
      <c r="G105" s="34"/>
      <c r="H105" s="35">
        <v>6000</v>
      </c>
      <c r="I105" s="80">
        <v>0</v>
      </c>
      <c r="J105" s="42"/>
      <c r="K105"/>
      <c r="L105" s="34"/>
      <c r="M105" s="35">
        <v>0</v>
      </c>
      <c r="N105" s="37">
        <v>0</v>
      </c>
      <c r="O105" s="42"/>
      <c r="P105"/>
      <c r="Q105" s="34"/>
      <c r="R105" s="35"/>
      <c r="S105" s="37"/>
      <c r="T105" s="42"/>
      <c r="U105"/>
      <c r="V105" s="34"/>
      <c r="W105" s="35">
        <v>0</v>
      </c>
      <c r="X105" s="182">
        <v>0</v>
      </c>
      <c r="Y105" s="37"/>
      <c r="Z105" s="42"/>
      <c r="AA105"/>
      <c r="AB105" s="34">
        <f t="shared" si="21"/>
        <v>0</v>
      </c>
      <c r="AC105" s="182">
        <f t="shared" si="22"/>
        <v>0</v>
      </c>
      <c r="AD105" s="37">
        <f t="shared" si="23"/>
        <v>0</v>
      </c>
      <c r="AE105" s="42"/>
      <c r="AF105" s="42"/>
    </row>
    <row r="106" spans="1:32" s="43" customFormat="1" x14ac:dyDescent="0.25">
      <c r="A106" s="40"/>
      <c r="B106" s="41" t="s">
        <v>18</v>
      </c>
      <c r="C106" s="79"/>
      <c r="D106" s="80"/>
      <c r="E106" s="81"/>
      <c r="F106"/>
      <c r="G106" s="79"/>
      <c r="H106" s="35">
        <v>6300</v>
      </c>
      <c r="I106" s="80">
        <v>0</v>
      </c>
      <c r="J106" s="81"/>
      <c r="K106"/>
      <c r="L106" s="79"/>
      <c r="M106" s="35">
        <v>5000</v>
      </c>
      <c r="N106" s="37">
        <v>0</v>
      </c>
      <c r="O106" s="81"/>
      <c r="P106"/>
      <c r="Q106" s="79"/>
      <c r="R106" s="35"/>
      <c r="S106" s="37"/>
      <c r="T106" s="81"/>
      <c r="U106"/>
      <c r="V106" s="79"/>
      <c r="W106" s="35">
        <v>0</v>
      </c>
      <c r="X106" s="182">
        <v>0</v>
      </c>
      <c r="Y106" s="37"/>
      <c r="Z106" s="42"/>
      <c r="AA106"/>
      <c r="AB106" s="34">
        <f t="shared" si="21"/>
        <v>0</v>
      </c>
      <c r="AC106" s="182">
        <f t="shared" si="22"/>
        <v>0</v>
      </c>
      <c r="AD106" s="37">
        <f t="shared" si="23"/>
        <v>0</v>
      </c>
      <c r="AE106" s="81"/>
      <c r="AF106" s="81"/>
    </row>
    <row r="107" spans="1:32" x14ac:dyDescent="0.25">
      <c r="A107" s="30"/>
      <c r="B107" s="44" t="s">
        <v>19</v>
      </c>
      <c r="C107" s="46">
        <f>SUM(C100:C106)</f>
        <v>0</v>
      </c>
      <c r="D107" s="49">
        <f>SUM(D100:D106)</f>
        <v>0</v>
      </c>
      <c r="E107" s="189">
        <f>SUM(E100:E106)</f>
        <v>0</v>
      </c>
      <c r="G107" s="46">
        <f>SUM(G100:G106)</f>
        <v>0</v>
      </c>
      <c r="H107" s="47">
        <f>SUM(H100:H106)</f>
        <v>180350</v>
      </c>
      <c r="I107" s="49">
        <f>SUM(I100:I106)</f>
        <v>7713.41</v>
      </c>
      <c r="J107" s="50">
        <f>+G107-I107</f>
        <v>-7713.41</v>
      </c>
      <c r="L107" s="46">
        <f>SUM(L100:L106)</f>
        <v>0</v>
      </c>
      <c r="M107" s="47">
        <f>SUM(M100:M106)</f>
        <v>142950</v>
      </c>
      <c r="N107" s="49">
        <v>-5.6843418860808015E-14</v>
      </c>
      <c r="O107" s="50">
        <f>+M107-N107</f>
        <v>142950</v>
      </c>
      <c r="Q107" s="46">
        <f>SUM(Q100:Q106)</f>
        <v>0</v>
      </c>
      <c r="R107" s="47">
        <f>SUM(R100:R106)</f>
        <v>0</v>
      </c>
      <c r="S107" s="49"/>
      <c r="T107" s="50">
        <f>+R107-S107</f>
        <v>0</v>
      </c>
      <c r="V107" s="46">
        <f>SUM(V100:V106)</f>
        <v>0</v>
      </c>
      <c r="W107" s="47">
        <f>SUM(W100:W106)</f>
        <v>0</v>
      </c>
      <c r="X107" s="183">
        <f>SUM(X100:X106)</f>
        <v>0</v>
      </c>
      <c r="Y107" s="49"/>
      <c r="Z107" s="50"/>
      <c r="AB107" s="46">
        <f>SUM(AB100:AB106)</f>
        <v>0</v>
      </c>
      <c r="AC107" s="183">
        <f>SUM(AC100:AC106)</f>
        <v>7713.41</v>
      </c>
      <c r="AD107" s="49">
        <f>SUM(AD100:AD106)</f>
        <v>7713.41</v>
      </c>
      <c r="AE107" s="50"/>
      <c r="AF107" s="50"/>
    </row>
    <row r="108" spans="1:32" x14ac:dyDescent="0.25">
      <c r="A108" s="30"/>
      <c r="B108" s="41" t="s">
        <v>20</v>
      </c>
      <c r="C108" s="79"/>
      <c r="D108" s="80"/>
      <c r="E108" s="190"/>
      <c r="G108" s="79"/>
      <c r="H108" s="82">
        <v>80000</v>
      </c>
      <c r="I108" s="80">
        <v>12217</v>
      </c>
      <c r="J108" s="190"/>
      <c r="L108" s="79"/>
      <c r="M108" s="82">
        <v>68000</v>
      </c>
      <c r="N108" s="37">
        <v>0</v>
      </c>
      <c r="O108" s="42"/>
      <c r="Q108" s="79"/>
      <c r="R108" s="82"/>
      <c r="S108" s="37"/>
      <c r="T108" s="42"/>
      <c r="V108" s="79"/>
      <c r="W108" s="35">
        <v>0</v>
      </c>
      <c r="X108" s="182">
        <v>0</v>
      </c>
      <c r="Y108" s="37"/>
      <c r="Z108" s="42"/>
      <c r="AB108" s="34">
        <f>+C108+G108+L108+Q108+V108</f>
        <v>0</v>
      </c>
      <c r="AC108" s="182">
        <f>D108+I108+N108+S108+X108</f>
        <v>12217</v>
      </c>
      <c r="AD108" s="37">
        <f>+D108+I108+N108+S108+Y108</f>
        <v>12217</v>
      </c>
      <c r="AE108" s="42"/>
      <c r="AF108" s="42"/>
    </row>
    <row r="109" spans="1:32" s="84" customFormat="1" ht="18.75" x14ac:dyDescent="0.3">
      <c r="A109" s="30"/>
      <c r="B109" s="83" t="s">
        <v>36</v>
      </c>
      <c r="C109" s="53">
        <f>C107+C108</f>
        <v>0</v>
      </c>
      <c r="D109" s="56">
        <f>D107+D108</f>
        <v>0</v>
      </c>
      <c r="E109" s="91">
        <f>E107+E108</f>
        <v>0</v>
      </c>
      <c r="F109"/>
      <c r="G109" s="53">
        <f>G107+G108</f>
        <v>0</v>
      </c>
      <c r="H109" s="54">
        <f>H107+H108</f>
        <v>260350</v>
      </c>
      <c r="I109" s="56">
        <f>I107+I108</f>
        <v>19930.41</v>
      </c>
      <c r="J109" s="50">
        <f>+G109-I109</f>
        <v>-19930.41</v>
      </c>
      <c r="K109"/>
      <c r="L109" s="53">
        <f>L107+L108</f>
        <v>0</v>
      </c>
      <c r="M109" s="54">
        <f>M107+M108</f>
        <v>210950</v>
      </c>
      <c r="N109" s="56">
        <f>N107+N108</f>
        <v>-5.6843418860808015E-14</v>
      </c>
      <c r="O109" s="50">
        <f>+M109-N109</f>
        <v>210950</v>
      </c>
      <c r="P109"/>
      <c r="Q109" s="53">
        <f>Q107+Q108</f>
        <v>0</v>
      </c>
      <c r="R109" s="54">
        <f>R107+R108</f>
        <v>0</v>
      </c>
      <c r="S109" s="56">
        <v>0</v>
      </c>
      <c r="T109" s="50">
        <f>+R109-S109</f>
        <v>0</v>
      </c>
      <c r="U109"/>
      <c r="V109" s="53">
        <f>V107+V108</f>
        <v>0</v>
      </c>
      <c r="W109" s="54">
        <f>W107+W108</f>
        <v>0</v>
      </c>
      <c r="X109" s="184">
        <f>X107+X108</f>
        <v>0</v>
      </c>
      <c r="Y109" s="56"/>
      <c r="Z109" s="185">
        <f>V109-W109</f>
        <v>0</v>
      </c>
      <c r="AA109"/>
      <c r="AB109" s="53">
        <f>AB107+AB108</f>
        <v>0</v>
      </c>
      <c r="AC109" s="184">
        <f>AC107+AC108</f>
        <v>19930.41</v>
      </c>
      <c r="AD109" s="56">
        <f>AD107+AD108</f>
        <v>19930.41</v>
      </c>
      <c r="AE109" s="50"/>
      <c r="AF109" s="50"/>
    </row>
    <row r="110" spans="1:32" s="87" customFormat="1" ht="18.75" x14ac:dyDescent="0.3">
      <c r="A110" s="85"/>
      <c r="B110" s="85"/>
      <c r="C110" s="69"/>
      <c r="D110" s="72"/>
      <c r="E110" s="85"/>
      <c r="F110"/>
      <c r="G110" s="69"/>
      <c r="H110" s="70"/>
      <c r="I110" s="72"/>
      <c r="J110" s="85"/>
      <c r="K110"/>
      <c r="L110" s="69"/>
      <c r="M110" s="70"/>
      <c r="N110" s="72"/>
      <c r="O110" s="85"/>
      <c r="P110"/>
      <c r="Q110" s="69"/>
      <c r="R110" s="70"/>
      <c r="S110" s="72"/>
      <c r="T110" s="85"/>
      <c r="U110"/>
      <c r="V110" s="69"/>
      <c r="W110" s="70"/>
      <c r="X110" s="188"/>
      <c r="Y110" s="72"/>
      <c r="Z110" s="67"/>
      <c r="AA110"/>
      <c r="AB110" s="69"/>
      <c r="AC110" s="188"/>
      <c r="AD110" s="72"/>
      <c r="AE110" s="85"/>
      <c r="AF110" s="85"/>
    </row>
    <row r="111" spans="1:32" s="43" customFormat="1" ht="18.75" x14ac:dyDescent="0.3">
      <c r="A111" s="193" t="s">
        <v>107</v>
      </c>
      <c r="B111" s="210" t="s">
        <v>55</v>
      </c>
      <c r="C111" s="26"/>
      <c r="D111" s="26"/>
      <c r="E111" s="26"/>
      <c r="F111"/>
      <c r="G111" s="26"/>
      <c r="H111" s="26"/>
      <c r="I111" s="26"/>
      <c r="J111" s="26"/>
      <c r="K111"/>
      <c r="L111" s="26"/>
      <c r="M111" s="26"/>
      <c r="N111" s="26"/>
      <c r="O111" s="26"/>
      <c r="P111"/>
      <c r="Q111" s="26"/>
      <c r="R111" s="26"/>
      <c r="S111" s="26"/>
      <c r="T111" s="26"/>
      <c r="U111"/>
      <c r="V111" s="26"/>
      <c r="W111" s="26"/>
      <c r="X111" s="26"/>
      <c r="Y111" s="26"/>
      <c r="Z111" s="26"/>
      <c r="AA111"/>
      <c r="AB111" s="26"/>
      <c r="AC111" s="26"/>
      <c r="AD111" s="26"/>
      <c r="AE111" s="26"/>
      <c r="AF111" s="26"/>
    </row>
    <row r="112" spans="1:32" s="43" customFormat="1" x14ac:dyDescent="0.25">
      <c r="A112" s="40"/>
      <c r="B112" s="41" t="s">
        <v>11</v>
      </c>
      <c r="C112" s="79"/>
      <c r="D112" s="80"/>
      <c r="E112" s="81"/>
      <c r="F112"/>
      <c r="G112" s="79"/>
      <c r="H112" s="35">
        <v>0</v>
      </c>
      <c r="I112" s="80">
        <v>0</v>
      </c>
      <c r="J112" s="42"/>
      <c r="K112"/>
      <c r="L112" s="79"/>
      <c r="M112" s="35">
        <v>0</v>
      </c>
      <c r="N112" s="37">
        <v>0</v>
      </c>
      <c r="O112" s="42"/>
      <c r="P112"/>
      <c r="Q112" s="79"/>
      <c r="R112" s="35"/>
      <c r="S112" s="37"/>
      <c r="T112" s="42"/>
      <c r="U112"/>
      <c r="V112" s="79"/>
      <c r="W112" s="35">
        <v>56798.062613723327</v>
      </c>
      <c r="X112" s="182">
        <v>14278.823981552652</v>
      </c>
      <c r="Y112" s="37">
        <v>30636.947094772248</v>
      </c>
      <c r="Z112" s="42"/>
      <c r="AA112"/>
      <c r="AB112" s="34">
        <f t="shared" ref="AB112:AB118" si="24">+C112+G112+L112+Q112+V112</f>
        <v>0</v>
      </c>
      <c r="AC112" s="182">
        <f t="shared" ref="AC112:AC118" si="25">D112+I112+N112+S112+X112</f>
        <v>14278.823981552652</v>
      </c>
      <c r="AD112" s="37">
        <f t="shared" ref="AD112:AD118" si="26">+D112+I112+N112+S112+Y112</f>
        <v>30636.947094772248</v>
      </c>
      <c r="AE112" s="42"/>
      <c r="AF112" s="42"/>
    </row>
    <row r="113" spans="1:32" s="43" customFormat="1" x14ac:dyDescent="0.25">
      <c r="A113" s="40"/>
      <c r="B113" s="41" t="s">
        <v>13</v>
      </c>
      <c r="C113" s="79"/>
      <c r="D113" s="80"/>
      <c r="E113" s="81"/>
      <c r="F113"/>
      <c r="G113" s="79"/>
      <c r="H113" s="35">
        <v>0</v>
      </c>
      <c r="I113" s="80">
        <v>0</v>
      </c>
      <c r="J113" s="81"/>
      <c r="K113"/>
      <c r="L113" s="79"/>
      <c r="M113" s="35">
        <v>0</v>
      </c>
      <c r="N113" s="37">
        <v>0</v>
      </c>
      <c r="O113" s="81"/>
      <c r="P113"/>
      <c r="Q113" s="79"/>
      <c r="R113" s="35"/>
      <c r="S113" s="37"/>
      <c r="T113" s="81"/>
      <c r="U113"/>
      <c r="V113" s="79"/>
      <c r="W113" s="35">
        <v>115100.70966754528</v>
      </c>
      <c r="X113" s="182">
        <v>99647.963105303614</v>
      </c>
      <c r="Y113" s="37">
        <v>8164.8125508584881</v>
      </c>
      <c r="Z113" s="42"/>
      <c r="AA113"/>
      <c r="AB113" s="34">
        <f t="shared" si="24"/>
        <v>0</v>
      </c>
      <c r="AC113" s="182">
        <f t="shared" si="25"/>
        <v>99647.963105303614</v>
      </c>
      <c r="AD113" s="37">
        <f t="shared" si="26"/>
        <v>8164.8125508584881</v>
      </c>
      <c r="AE113" s="81"/>
      <c r="AF113" s="81"/>
    </row>
    <row r="114" spans="1:32" s="43" customFormat="1" x14ac:dyDescent="0.25">
      <c r="A114" s="40"/>
      <c r="B114" s="41" t="s">
        <v>14</v>
      </c>
      <c r="C114" s="79"/>
      <c r="D114" s="80"/>
      <c r="E114" s="81"/>
      <c r="F114"/>
      <c r="G114" s="79"/>
      <c r="H114" s="35">
        <v>0</v>
      </c>
      <c r="I114" s="80">
        <v>0</v>
      </c>
      <c r="J114" s="81"/>
      <c r="K114"/>
      <c r="L114" s="79"/>
      <c r="M114" s="35">
        <v>0</v>
      </c>
      <c r="N114" s="37">
        <v>0</v>
      </c>
      <c r="O114" s="81"/>
      <c r="P114"/>
      <c r="Q114" s="79"/>
      <c r="R114" s="35"/>
      <c r="S114" s="37"/>
      <c r="T114" s="81"/>
      <c r="U114"/>
      <c r="V114" s="79"/>
      <c r="W114" s="35">
        <v>60935.669823994562</v>
      </c>
      <c r="X114" s="182">
        <v>86766.641045349737</v>
      </c>
      <c r="Y114" s="37">
        <v>47240.590453343386</v>
      </c>
      <c r="Z114" s="42"/>
      <c r="AA114"/>
      <c r="AB114" s="34">
        <f t="shared" si="24"/>
        <v>0</v>
      </c>
      <c r="AC114" s="182">
        <f t="shared" si="25"/>
        <v>86766.641045349737</v>
      </c>
      <c r="AD114" s="37">
        <f t="shared" si="26"/>
        <v>47240.590453343386</v>
      </c>
      <c r="AE114" s="81"/>
      <c r="AF114" s="81"/>
    </row>
    <row r="115" spans="1:32" s="43" customFormat="1" x14ac:dyDescent="0.25">
      <c r="A115" s="40"/>
      <c r="B115" s="41" t="s">
        <v>15</v>
      </c>
      <c r="C115" s="34"/>
      <c r="D115" s="80"/>
      <c r="E115" s="81"/>
      <c r="F115"/>
      <c r="G115" s="34"/>
      <c r="H115" s="35">
        <v>0</v>
      </c>
      <c r="I115" s="80">
        <v>0</v>
      </c>
      <c r="J115" s="42"/>
      <c r="K115"/>
      <c r="L115" s="34"/>
      <c r="M115" s="35">
        <v>0</v>
      </c>
      <c r="N115" s="37">
        <v>0</v>
      </c>
      <c r="O115" s="42"/>
      <c r="P115"/>
      <c r="Q115" s="34"/>
      <c r="R115" s="35"/>
      <c r="S115" s="37"/>
      <c r="T115" s="42"/>
      <c r="U115"/>
      <c r="V115" s="34"/>
      <c r="W115" s="35">
        <v>0</v>
      </c>
      <c r="X115" s="182">
        <v>36456.571867794002</v>
      </c>
      <c r="Y115" s="37">
        <v>34961.031478070014</v>
      </c>
      <c r="Z115" s="42"/>
      <c r="AA115"/>
      <c r="AB115" s="34">
        <f t="shared" si="24"/>
        <v>0</v>
      </c>
      <c r="AC115" s="182">
        <f t="shared" si="25"/>
        <v>36456.571867794002</v>
      </c>
      <c r="AD115" s="37">
        <f t="shared" si="26"/>
        <v>34961.031478070014</v>
      </c>
      <c r="AE115" s="42"/>
      <c r="AF115" s="42"/>
    </row>
    <row r="116" spans="1:32" s="43" customFormat="1" x14ac:dyDescent="0.25">
      <c r="A116" s="40"/>
      <c r="B116" s="41" t="s">
        <v>16</v>
      </c>
      <c r="C116" s="34"/>
      <c r="D116" s="80"/>
      <c r="E116" s="81"/>
      <c r="F116"/>
      <c r="G116" s="34"/>
      <c r="H116" s="35">
        <v>0</v>
      </c>
      <c r="I116" s="80">
        <v>0</v>
      </c>
      <c r="J116" s="42"/>
      <c r="K116"/>
      <c r="L116" s="34"/>
      <c r="M116" s="35">
        <v>0</v>
      </c>
      <c r="N116" s="37">
        <v>0</v>
      </c>
      <c r="O116" s="42"/>
      <c r="P116"/>
      <c r="Q116" s="34"/>
      <c r="R116" s="35"/>
      <c r="S116" s="80">
        <v>7735.1699999999983</v>
      </c>
      <c r="T116" s="42"/>
      <c r="U116"/>
      <c r="V116" s="34"/>
      <c r="W116" s="35">
        <v>0</v>
      </c>
      <c r="X116" s="182">
        <v>4000</v>
      </c>
      <c r="Y116" s="37">
        <v>1956.2600000000002</v>
      </c>
      <c r="Z116" s="42"/>
      <c r="AA116"/>
      <c r="AB116" s="34">
        <f t="shared" si="24"/>
        <v>0</v>
      </c>
      <c r="AC116" s="182">
        <f t="shared" si="25"/>
        <v>11735.169999999998</v>
      </c>
      <c r="AD116" s="37">
        <f t="shared" si="26"/>
        <v>9691.4299999999985</v>
      </c>
      <c r="AE116" s="42"/>
      <c r="AF116" s="42"/>
    </row>
    <row r="117" spans="1:32" s="43" customFormat="1" x14ac:dyDescent="0.25">
      <c r="A117" s="40"/>
      <c r="B117" s="41" t="s">
        <v>17</v>
      </c>
      <c r="C117" s="34"/>
      <c r="D117" s="80"/>
      <c r="E117" s="81"/>
      <c r="F117"/>
      <c r="G117" s="34"/>
      <c r="H117" s="35">
        <v>0</v>
      </c>
      <c r="I117" s="80">
        <v>0</v>
      </c>
      <c r="J117" s="42"/>
      <c r="K117"/>
      <c r="L117" s="34"/>
      <c r="M117" s="35">
        <v>0</v>
      </c>
      <c r="N117" s="37">
        <v>0</v>
      </c>
      <c r="O117" s="42"/>
      <c r="P117"/>
      <c r="Q117" s="34"/>
      <c r="R117" s="35"/>
      <c r="S117" s="80"/>
      <c r="T117" s="42"/>
      <c r="U117"/>
      <c r="V117" s="34"/>
      <c r="W117" s="35">
        <v>0</v>
      </c>
      <c r="X117" s="182">
        <v>0</v>
      </c>
      <c r="Y117" s="37">
        <v>0</v>
      </c>
      <c r="Z117" s="42"/>
      <c r="AA117"/>
      <c r="AB117" s="34">
        <f t="shared" si="24"/>
        <v>0</v>
      </c>
      <c r="AC117" s="182">
        <f t="shared" si="25"/>
        <v>0</v>
      </c>
      <c r="AD117" s="37">
        <f t="shared" si="26"/>
        <v>0</v>
      </c>
      <c r="AE117" s="42"/>
      <c r="AF117" s="42"/>
    </row>
    <row r="118" spans="1:32" s="43" customFormat="1" x14ac:dyDescent="0.25">
      <c r="A118" s="40"/>
      <c r="B118" s="41" t="s">
        <v>18</v>
      </c>
      <c r="C118" s="79"/>
      <c r="D118" s="80"/>
      <c r="E118" s="81"/>
      <c r="F118"/>
      <c r="G118" s="79"/>
      <c r="H118" s="35">
        <v>0</v>
      </c>
      <c r="I118" s="80">
        <v>0</v>
      </c>
      <c r="J118" s="81"/>
      <c r="K118"/>
      <c r="L118" s="79"/>
      <c r="M118" s="35">
        <v>0</v>
      </c>
      <c r="N118" s="37">
        <v>0</v>
      </c>
      <c r="O118" s="81"/>
      <c r="P118"/>
      <c r="Q118" s="79"/>
      <c r="R118" s="35"/>
      <c r="S118" s="80"/>
      <c r="T118" s="81"/>
      <c r="U118"/>
      <c r="V118" s="79"/>
      <c r="W118" s="35">
        <v>0</v>
      </c>
      <c r="X118" s="182">
        <v>7200</v>
      </c>
      <c r="Y118" s="37">
        <v>11539.998422955876</v>
      </c>
      <c r="Z118" s="42"/>
      <c r="AA118"/>
      <c r="AB118" s="34">
        <f t="shared" si="24"/>
        <v>0</v>
      </c>
      <c r="AC118" s="182">
        <f t="shared" si="25"/>
        <v>7200</v>
      </c>
      <c r="AD118" s="37">
        <f t="shared" si="26"/>
        <v>11539.998422955876</v>
      </c>
      <c r="AE118" s="81"/>
      <c r="AF118" s="81"/>
    </row>
    <row r="119" spans="1:32" x14ac:dyDescent="0.25">
      <c r="A119" s="30"/>
      <c r="B119" s="44" t="s">
        <v>19</v>
      </c>
      <c r="C119" s="46">
        <f>SUM(C112:C118)</f>
        <v>0</v>
      </c>
      <c r="D119" s="49">
        <f>SUM(D112:D118)</f>
        <v>0</v>
      </c>
      <c r="E119" s="189">
        <f>SUM(E112:E118)</f>
        <v>0</v>
      </c>
      <c r="G119" s="46">
        <f>SUM(G112:G118)</f>
        <v>0</v>
      </c>
      <c r="H119" s="47">
        <f>SUM(H112:H118)</f>
        <v>0</v>
      </c>
      <c r="I119" s="49">
        <f>SUM(I112:I118)</f>
        <v>0</v>
      </c>
      <c r="J119" s="50">
        <f>+G119-I119</f>
        <v>0</v>
      </c>
      <c r="L119" s="46">
        <f>SUM(L112:L118)</f>
        <v>0</v>
      </c>
      <c r="M119" s="47">
        <f>SUM(M112:M118)</f>
        <v>0</v>
      </c>
      <c r="N119" s="49">
        <v>-5.6843418860808015E-14</v>
      </c>
      <c r="O119" s="50">
        <f>+M119-N119</f>
        <v>5.6843418860808015E-14</v>
      </c>
      <c r="Q119" s="46">
        <f>SUM(Q112:Q118)</f>
        <v>0</v>
      </c>
      <c r="R119" s="47">
        <f>SUM(R112:R118)</f>
        <v>0</v>
      </c>
      <c r="S119" s="49">
        <f>SUM(S112:S118)</f>
        <v>7735.1699999999983</v>
      </c>
      <c r="T119" s="50">
        <f>+R119-S119</f>
        <v>-7735.1699999999983</v>
      </c>
      <c r="V119" s="46">
        <f>SUM(V112:V118)</f>
        <v>0</v>
      </c>
      <c r="W119" s="47">
        <f>SUM(W112:W118)</f>
        <v>232834.44210526318</v>
      </c>
      <c r="X119" s="183">
        <f>SUM(X112:X118)</f>
        <v>248350</v>
      </c>
      <c r="Y119" s="49">
        <v>134499.64000000001</v>
      </c>
      <c r="Z119" s="50"/>
      <c r="AB119" s="46">
        <f>SUM(AB112:AB118)</f>
        <v>0</v>
      </c>
      <c r="AC119" s="183">
        <f>SUM(AC112:AC118)</f>
        <v>256085.16999999998</v>
      </c>
      <c r="AD119" s="49">
        <f>SUM(AD112:AD118)</f>
        <v>142234.81</v>
      </c>
      <c r="AE119" s="50"/>
      <c r="AF119" s="50"/>
    </row>
    <row r="120" spans="1:32" x14ac:dyDescent="0.25">
      <c r="A120" s="30"/>
      <c r="B120" s="41" t="s">
        <v>20</v>
      </c>
      <c r="C120" s="79"/>
      <c r="D120" s="80"/>
      <c r="E120" s="190"/>
      <c r="G120" s="79"/>
      <c r="H120" s="35">
        <v>0</v>
      </c>
      <c r="I120" s="80">
        <v>0</v>
      </c>
      <c r="J120" s="190"/>
      <c r="L120" s="79"/>
      <c r="M120" s="35">
        <v>0</v>
      </c>
      <c r="N120" s="37">
        <v>0</v>
      </c>
      <c r="O120" s="42"/>
      <c r="Q120" s="79"/>
      <c r="R120" s="82"/>
      <c r="S120" s="80">
        <v>18060</v>
      </c>
      <c r="T120" s="42"/>
      <c r="V120" s="79"/>
      <c r="W120" s="35">
        <v>32165.557894736841</v>
      </c>
      <c r="X120" s="182">
        <v>32165.557894736841</v>
      </c>
      <c r="Y120" s="37">
        <v>30123</v>
      </c>
      <c r="Z120" s="42"/>
      <c r="AB120" s="34">
        <f>+C120+G120+L120+Q120+V120</f>
        <v>0</v>
      </c>
      <c r="AC120" s="182">
        <f>D120+I120+N120+S120+X120</f>
        <v>50225.557894736841</v>
      </c>
      <c r="AD120" s="37">
        <f>+D120+I120+N120+S120+Y120</f>
        <v>48183</v>
      </c>
      <c r="AE120" s="42"/>
      <c r="AF120" s="42"/>
    </row>
    <row r="121" spans="1:32" s="84" customFormat="1" ht="18.75" x14ac:dyDescent="0.3">
      <c r="A121" s="30"/>
      <c r="B121" s="83" t="s">
        <v>36</v>
      </c>
      <c r="C121" s="53">
        <f>C119+C120</f>
        <v>0</v>
      </c>
      <c r="D121" s="56">
        <f>D119+D120</f>
        <v>0</v>
      </c>
      <c r="E121" s="91">
        <f>E119+E120</f>
        <v>0</v>
      </c>
      <c r="F121"/>
      <c r="G121" s="53">
        <f>G119+G120</f>
        <v>0</v>
      </c>
      <c r="H121" s="54">
        <f>H119+H120</f>
        <v>0</v>
      </c>
      <c r="I121" s="56">
        <f>I119+I120</f>
        <v>0</v>
      </c>
      <c r="J121" s="50">
        <f>+G121-I121</f>
        <v>0</v>
      </c>
      <c r="K121"/>
      <c r="L121" s="53">
        <f>L119+L120</f>
        <v>0</v>
      </c>
      <c r="M121" s="54">
        <f>M119+M120</f>
        <v>0</v>
      </c>
      <c r="N121" s="56">
        <f>N119+N120</f>
        <v>-5.6843418860808015E-14</v>
      </c>
      <c r="O121" s="50">
        <f>+M121-N121</f>
        <v>5.6843418860808015E-14</v>
      </c>
      <c r="P121"/>
      <c r="Q121" s="53">
        <f>Q119+Q120</f>
        <v>0</v>
      </c>
      <c r="R121" s="54">
        <f>R119+R120</f>
        <v>0</v>
      </c>
      <c r="S121" s="56">
        <f>S119+S120</f>
        <v>25795.17</v>
      </c>
      <c r="T121" s="50">
        <f>+R121-S121</f>
        <v>-25795.17</v>
      </c>
      <c r="U121"/>
      <c r="V121" s="53">
        <f>V119+V120</f>
        <v>0</v>
      </c>
      <c r="W121" s="54">
        <f>W119+W120</f>
        <v>265000</v>
      </c>
      <c r="X121" s="184">
        <f>X119+X120</f>
        <v>280515.55789473682</v>
      </c>
      <c r="Y121" s="49">
        <v>164622.64000000001</v>
      </c>
      <c r="Z121" s="185">
        <f>V121-W121</f>
        <v>-265000</v>
      </c>
      <c r="AA121"/>
      <c r="AB121" s="53">
        <f>AB119+AB120</f>
        <v>0</v>
      </c>
      <c r="AC121" s="184">
        <f>AC119+AC120</f>
        <v>306310.7278947368</v>
      </c>
      <c r="AD121" s="56">
        <f>AD119+AD120</f>
        <v>190417.81</v>
      </c>
      <c r="AE121" s="50"/>
      <c r="AF121" s="50"/>
    </row>
    <row r="122" spans="1:32" s="87" customFormat="1" ht="18.75" x14ac:dyDescent="0.3">
      <c r="A122" s="85"/>
      <c r="B122" s="85"/>
      <c r="C122" s="69"/>
      <c r="D122" s="72"/>
      <c r="E122" s="85"/>
      <c r="F122"/>
      <c r="G122" s="69"/>
      <c r="H122" s="70"/>
      <c r="I122" s="72"/>
      <c r="J122" s="85"/>
      <c r="K122"/>
      <c r="L122" s="69"/>
      <c r="M122" s="70"/>
      <c r="N122" s="72"/>
      <c r="O122" s="85"/>
      <c r="P122"/>
      <c r="Q122" s="69"/>
      <c r="R122" s="70"/>
      <c r="S122" s="72"/>
      <c r="T122" s="85"/>
      <c r="U122"/>
      <c r="V122" s="69"/>
      <c r="W122" s="70"/>
      <c r="X122" s="188"/>
      <c r="Y122" s="72"/>
      <c r="Z122" s="67"/>
      <c r="AA122"/>
      <c r="AB122" s="69"/>
      <c r="AC122" s="188"/>
      <c r="AD122" s="72"/>
      <c r="AE122" s="85"/>
      <c r="AF122" s="85"/>
    </row>
    <row r="123" spans="1:32" x14ac:dyDescent="0.25">
      <c r="A123" s="24" t="s">
        <v>57</v>
      </c>
      <c r="B123" s="25" t="s">
        <v>58</v>
      </c>
      <c r="C123" s="26"/>
      <c r="D123" s="26"/>
      <c r="E123" s="26"/>
      <c r="G123" s="26"/>
      <c r="H123" s="26"/>
      <c r="I123" s="26"/>
      <c r="J123" s="26"/>
      <c r="L123" s="26"/>
      <c r="M123" s="26"/>
      <c r="N123" s="26"/>
      <c r="O123" s="26"/>
      <c r="Q123" s="26"/>
      <c r="R123" s="26"/>
      <c r="S123" s="26"/>
      <c r="T123" s="26"/>
      <c r="V123" s="26"/>
      <c r="W123" s="26"/>
      <c r="X123" s="26"/>
      <c r="Y123" s="26"/>
      <c r="Z123" s="26"/>
      <c r="AB123" s="26"/>
      <c r="AC123" s="26"/>
      <c r="AD123" s="26"/>
      <c r="AE123" s="26"/>
      <c r="AF123" s="26"/>
    </row>
    <row r="124" spans="1:32" ht="18.75" x14ac:dyDescent="0.3">
      <c r="A124" s="98"/>
      <c r="B124" s="41" t="s">
        <v>59</v>
      </c>
      <c r="C124" s="34">
        <f>80000+200000</f>
        <v>280000</v>
      </c>
      <c r="D124" s="37">
        <v>292464</v>
      </c>
      <c r="E124" s="42"/>
      <c r="G124" s="34">
        <f>80000+200000</f>
        <v>280000</v>
      </c>
      <c r="H124" s="35">
        <v>354800</v>
      </c>
      <c r="I124" s="37">
        <v>305468.47009187273</v>
      </c>
      <c r="J124" s="42"/>
      <c r="L124" s="34">
        <f>80000+200000</f>
        <v>280000</v>
      </c>
      <c r="M124" s="35">
        <v>428269.6</v>
      </c>
      <c r="N124" s="37">
        <v>388876.40820337867</v>
      </c>
      <c r="O124" s="42"/>
      <c r="Q124" s="34">
        <f>80000+200000</f>
        <v>280000</v>
      </c>
      <c r="R124" s="35">
        <v>301000</v>
      </c>
      <c r="S124" s="37">
        <v>225855.5</v>
      </c>
      <c r="T124" s="42"/>
      <c r="V124" s="34">
        <f>80000+200000</f>
        <v>280000</v>
      </c>
      <c r="W124" s="35">
        <v>314116.49684210529</v>
      </c>
      <c r="X124" s="182">
        <v>314116.49684210529</v>
      </c>
      <c r="Y124" s="37">
        <v>296659</v>
      </c>
      <c r="Z124" s="194"/>
      <c r="AB124" s="34">
        <f>+C124+G124+L124+Q124+V124</f>
        <v>1400000</v>
      </c>
      <c r="AC124" s="182">
        <f>D124+I124+N124+S124+X124</f>
        <v>1526780.8751373566</v>
      </c>
      <c r="AD124" s="37">
        <f>+D124+I124+N124+S124+Y124</f>
        <v>1509323.3782952514</v>
      </c>
      <c r="AE124" s="42"/>
      <c r="AF124" s="42"/>
    </row>
    <row r="125" spans="1:32" ht="18.75" x14ac:dyDescent="0.3">
      <c r="A125" s="98"/>
      <c r="B125" s="41" t="s">
        <v>60</v>
      </c>
      <c r="C125" s="34">
        <f>(6*20000)+(0.5*80000)</f>
        <v>160000</v>
      </c>
      <c r="D125" s="37">
        <v>0</v>
      </c>
      <c r="E125" s="42"/>
      <c r="G125" s="34">
        <f>(6*20000)+(0.5*80000)</f>
        <v>160000</v>
      </c>
      <c r="H125" s="35">
        <v>211200</v>
      </c>
      <c r="I125" s="37">
        <v>181834.66990812719</v>
      </c>
      <c r="J125" s="42"/>
      <c r="L125" s="34">
        <f>(6*20000)+(0.5*80000)</f>
        <v>160000</v>
      </c>
      <c r="M125" s="35">
        <v>80000</v>
      </c>
      <c r="N125" s="37">
        <v>72641.421796621318</v>
      </c>
      <c r="O125" s="42"/>
      <c r="Q125" s="34">
        <f>(6*20000)+(0.5*80000)</f>
        <v>160000</v>
      </c>
      <c r="R125" s="35">
        <v>160000</v>
      </c>
      <c r="S125" s="37">
        <v>104380.57</v>
      </c>
      <c r="T125" s="42"/>
      <c r="V125" s="34">
        <f>(6*20000)+(0.5*80000)</f>
        <v>160000</v>
      </c>
      <c r="W125" s="35">
        <v>160000</v>
      </c>
      <c r="X125" s="182">
        <v>160000</v>
      </c>
      <c r="Y125" s="37">
        <v>50676.06</v>
      </c>
      <c r="Z125" s="194"/>
      <c r="AB125" s="34">
        <f>+C125+G125+L125+Q125+V125</f>
        <v>800000</v>
      </c>
      <c r="AC125" s="182">
        <f>D125+I125+N125+S125+X125</f>
        <v>518856.66170474852</v>
      </c>
      <c r="AD125" s="37">
        <f>+D125+I125+N125+S125+Y125</f>
        <v>409532.72170474852</v>
      </c>
      <c r="AE125" s="42"/>
      <c r="AF125" s="42"/>
    </row>
    <row r="126" spans="1:32" s="102" customFormat="1" ht="18.75" x14ac:dyDescent="0.3">
      <c r="A126" s="99"/>
      <c r="B126" s="100" t="s">
        <v>36</v>
      </c>
      <c r="C126" s="53">
        <f>SUM(C124:C125)</f>
        <v>440000</v>
      </c>
      <c r="D126" s="56">
        <f>SUM(D124:D125)</f>
        <v>292464</v>
      </c>
      <c r="E126" s="50">
        <f>+C126-D126</f>
        <v>147536</v>
      </c>
      <c r="F126"/>
      <c r="G126" s="53">
        <f>SUM(G124:G125)</f>
        <v>440000</v>
      </c>
      <c r="H126" s="54">
        <f>SUM(H124:H125)</f>
        <v>566000</v>
      </c>
      <c r="I126" s="56">
        <f>SUM(I124:I125)</f>
        <v>487303.1399999999</v>
      </c>
      <c r="J126" s="50">
        <f>+G126-I126</f>
        <v>-47303.139999999898</v>
      </c>
      <c r="K126"/>
      <c r="L126" s="53">
        <f>SUM(L124:L125)</f>
        <v>440000</v>
      </c>
      <c r="M126" s="54">
        <f>SUM(M124:M125)</f>
        <v>508269.6</v>
      </c>
      <c r="N126" s="56">
        <f>SUM(N124:N125)</f>
        <v>461517.82999999996</v>
      </c>
      <c r="O126" s="50">
        <f>+M126-N126</f>
        <v>46751.770000000019</v>
      </c>
      <c r="P126"/>
      <c r="Q126" s="53">
        <f>SUM(Q124:Q125)</f>
        <v>440000</v>
      </c>
      <c r="R126" s="54">
        <f>SUM(R124:R125)</f>
        <v>461000</v>
      </c>
      <c r="S126" s="56">
        <f>SUM(S124:S125)</f>
        <v>330236.07</v>
      </c>
      <c r="T126" s="50">
        <f>+R126-S126</f>
        <v>130763.93</v>
      </c>
      <c r="U126"/>
      <c r="V126" s="53">
        <f>SUM(V124:V125)</f>
        <v>440000</v>
      </c>
      <c r="W126" s="54">
        <f>SUM(W124:W125)</f>
        <v>474116.49684210529</v>
      </c>
      <c r="X126" s="184">
        <f>SUM(X124:X125)</f>
        <v>474116.49684210529</v>
      </c>
      <c r="Y126" s="49">
        <v>347335.06</v>
      </c>
      <c r="Z126" s="185">
        <f>V126-W126</f>
        <v>-34116.496842105291</v>
      </c>
      <c r="AA126"/>
      <c r="AB126" s="53">
        <f>SUM(AB124:AB125)</f>
        <v>2200000</v>
      </c>
      <c r="AC126" s="184">
        <f>SUM(AC124:AC125)</f>
        <v>2045637.536842105</v>
      </c>
      <c r="AD126" s="56">
        <f>+D126+I126+N126+S126+Y126</f>
        <v>1918856.0999999999</v>
      </c>
      <c r="AE126" s="50">
        <f>+AC126-AD126</f>
        <v>126781.43684210512</v>
      </c>
      <c r="AF126" s="186">
        <f>AE126/AB126</f>
        <v>5.7627925837320508E-2</v>
      </c>
    </row>
    <row r="127" spans="1:32" s="87" customFormat="1" ht="18.75" x14ac:dyDescent="0.3">
      <c r="A127" s="85"/>
      <c r="B127" s="85"/>
      <c r="C127" s="69"/>
      <c r="D127" s="72"/>
      <c r="E127" s="85"/>
      <c r="F127"/>
      <c r="G127" s="69"/>
      <c r="H127" s="70"/>
      <c r="I127" s="72"/>
      <c r="J127" s="85"/>
      <c r="K127"/>
      <c r="L127" s="69"/>
      <c r="M127" s="70"/>
      <c r="N127" s="72"/>
      <c r="O127" s="85"/>
      <c r="P127"/>
      <c r="Q127" s="69"/>
      <c r="R127" s="70"/>
      <c r="S127" s="72"/>
      <c r="T127" s="85"/>
      <c r="U127"/>
      <c r="V127" s="69"/>
      <c r="W127" s="70"/>
      <c r="X127" s="188"/>
      <c r="Y127" s="72"/>
      <c r="Z127" s="67"/>
      <c r="AA127"/>
      <c r="AB127" s="69"/>
      <c r="AC127" s="188"/>
      <c r="AD127" s="72"/>
      <c r="AE127" s="85"/>
      <c r="AF127" s="85"/>
    </row>
    <row r="128" spans="1:32" ht="18.75" x14ac:dyDescent="0.3">
      <c r="A128" s="24" t="s">
        <v>61</v>
      </c>
      <c r="B128" s="103" t="s">
        <v>62</v>
      </c>
      <c r="C128" s="26"/>
      <c r="D128" s="26"/>
      <c r="E128" s="26"/>
      <c r="G128" s="26"/>
      <c r="H128" s="26"/>
      <c r="I128" s="26"/>
      <c r="J128" s="26"/>
      <c r="L128" s="26"/>
      <c r="M128" s="26"/>
      <c r="N128" s="26"/>
      <c r="O128" s="26"/>
      <c r="Q128" s="26"/>
      <c r="R128" s="26"/>
      <c r="S128" s="26"/>
      <c r="T128" s="26"/>
      <c r="V128" s="26"/>
      <c r="W128" s="26"/>
      <c r="X128" s="26"/>
      <c r="Y128" s="26"/>
      <c r="Z128" s="26"/>
      <c r="AB128" s="26"/>
      <c r="AC128" s="26"/>
      <c r="AD128" s="26"/>
      <c r="AE128" s="26"/>
      <c r="AF128" s="26"/>
    </row>
    <row r="129" spans="1:32" ht="18.75" x14ac:dyDescent="0.3">
      <c r="A129" s="98"/>
      <c r="B129" s="41" t="s">
        <v>62</v>
      </c>
      <c r="C129" s="34"/>
      <c r="D129" s="37"/>
      <c r="E129" s="42"/>
      <c r="G129" s="34"/>
      <c r="H129" s="35"/>
      <c r="I129" s="37"/>
      <c r="J129" s="42"/>
      <c r="L129" s="34"/>
      <c r="M129" s="35"/>
      <c r="N129" s="37">
        <v>11338</v>
      </c>
      <c r="O129" s="42"/>
      <c r="Q129" s="34"/>
      <c r="R129" s="35">
        <v>150000</v>
      </c>
      <c r="S129" s="37">
        <v>24258.78</v>
      </c>
      <c r="T129" s="42"/>
      <c r="V129" s="34"/>
      <c r="W129" s="35">
        <v>0</v>
      </c>
      <c r="X129" s="182">
        <v>0</v>
      </c>
      <c r="Y129" s="37">
        <v>0</v>
      </c>
      <c r="Z129" s="194"/>
      <c r="AB129" s="34">
        <f>+C129+G129+L129+Q129+V129</f>
        <v>0</v>
      </c>
      <c r="AC129" s="182">
        <f>D129+I129+N129+S129+W129</f>
        <v>35596.78</v>
      </c>
      <c r="AD129" s="37">
        <f>+D129+I129+N129+S129+Y129</f>
        <v>35596.78</v>
      </c>
      <c r="AE129" s="42"/>
      <c r="AF129" s="42"/>
    </row>
    <row r="130" spans="1:32" s="102" customFormat="1" ht="18.75" x14ac:dyDescent="0.3">
      <c r="A130" s="99"/>
      <c r="B130" s="100"/>
      <c r="C130" s="53"/>
      <c r="D130" s="56"/>
      <c r="E130" s="50"/>
      <c r="F130"/>
      <c r="G130" s="53"/>
      <c r="H130" s="54"/>
      <c r="I130" s="56"/>
      <c r="J130" s="50"/>
      <c r="K130"/>
      <c r="L130" s="53"/>
      <c r="M130" s="54"/>
      <c r="N130" s="56">
        <f>+N129</f>
        <v>11338</v>
      </c>
      <c r="O130" s="50">
        <f>+M130-N130</f>
        <v>-11338</v>
      </c>
      <c r="P130"/>
      <c r="Q130" s="53"/>
      <c r="R130" s="54">
        <f>R129</f>
        <v>150000</v>
      </c>
      <c r="S130" s="56">
        <f>+S129</f>
        <v>24258.78</v>
      </c>
      <c r="T130" s="50">
        <f>+R130-S130</f>
        <v>125741.22</v>
      </c>
      <c r="U130"/>
      <c r="V130" s="53">
        <f>V129</f>
        <v>0</v>
      </c>
      <c r="W130" s="54">
        <f>W129</f>
        <v>0</v>
      </c>
      <c r="X130" s="184">
        <f>X129</f>
        <v>0</v>
      </c>
      <c r="Y130" s="49">
        <v>0</v>
      </c>
      <c r="Z130" s="185">
        <f>V130-W130</f>
        <v>0</v>
      </c>
      <c r="AA130"/>
      <c r="AB130" s="46">
        <f>+C130+G130+L130+Q130+V130</f>
        <v>0</v>
      </c>
      <c r="AC130" s="184">
        <f>+AC129</f>
        <v>35596.78</v>
      </c>
      <c r="AD130" s="49">
        <f>+D130+I130+N130+S130+Y130</f>
        <v>35596.78</v>
      </c>
      <c r="AE130" s="50">
        <f>+AC130-AD130</f>
        <v>0</v>
      </c>
      <c r="AF130" s="50"/>
    </row>
    <row r="131" spans="1:32" s="87" customFormat="1" ht="18.75" x14ac:dyDescent="0.3">
      <c r="A131" s="85"/>
      <c r="B131" s="85"/>
      <c r="C131" s="69"/>
      <c r="D131" s="72"/>
      <c r="E131" s="85"/>
      <c r="F131"/>
      <c r="G131" s="69"/>
      <c r="H131" s="70"/>
      <c r="I131" s="72"/>
      <c r="J131" s="85"/>
      <c r="K131"/>
      <c r="L131" s="69"/>
      <c r="M131" s="70"/>
      <c r="N131" s="72"/>
      <c r="O131" s="85"/>
      <c r="P131"/>
      <c r="Q131" s="69"/>
      <c r="R131" s="70"/>
      <c r="S131" s="72"/>
      <c r="T131" s="85"/>
      <c r="U131"/>
      <c r="V131" s="69"/>
      <c r="W131" s="70"/>
      <c r="X131" s="188"/>
      <c r="Y131" s="72"/>
      <c r="Z131" s="67"/>
      <c r="AA131"/>
      <c r="AB131" s="69"/>
      <c r="AC131" s="188"/>
      <c r="AD131" s="72"/>
      <c r="AE131" s="85"/>
      <c r="AF131" s="85"/>
    </row>
    <row r="132" spans="1:32" s="112" customFormat="1" ht="18.75" x14ac:dyDescent="0.3">
      <c r="A132" s="105" t="s">
        <v>63</v>
      </c>
      <c r="B132" s="106"/>
      <c r="C132" s="108">
        <f>C17+C29+C38+C50+C62+C73+C126+C85+C109</f>
        <v>1728468.9241510015</v>
      </c>
      <c r="D132" s="111">
        <f>D17+D29+D38+D50+D62+D73+D126+D85+D109</f>
        <v>1374283.37</v>
      </c>
      <c r="E132" s="113">
        <f>E17+E29+E38+E50+E62+E73+E126+E85+E109</f>
        <v>354185.55415100156</v>
      </c>
      <c r="F132"/>
      <c r="G132" s="108">
        <f>G17+G29+G38+G50+G62+G73+G126</f>
        <v>1824428.7543010432</v>
      </c>
      <c r="H132" s="109">
        <f>H17+H29+H38+H50+H62+H73+H126</f>
        <v>2112402.5415807525</v>
      </c>
      <c r="I132" s="111">
        <f>I17+I29+I38+I50+I62+I73+I126</f>
        <v>1577488.0099999998</v>
      </c>
      <c r="J132" s="50">
        <f>+G132-I132</f>
        <v>246940.74430104345</v>
      </c>
      <c r="K132"/>
      <c r="L132" s="108">
        <f>L17+L29+L38+L50+L62+L73+L126</f>
        <v>1905188.0965737705</v>
      </c>
      <c r="M132" s="109">
        <f>M17+M29+M38+M50+M62+M73+M126</f>
        <v>2082284.6660109428</v>
      </c>
      <c r="N132" s="111">
        <f>N17+N29+N38+N50+N62+N73+N126+N130</f>
        <v>1629724.1799999997</v>
      </c>
      <c r="O132" s="50">
        <f>+M132-N132</f>
        <v>452560.48601094307</v>
      </c>
      <c r="P132"/>
      <c r="Q132" s="108">
        <f>Q17+Q29+Q38+Q50+Q62+Q73+Q126</f>
        <v>1969185.3834717704</v>
      </c>
      <c r="R132" s="109">
        <f>R17+R29+R38+R50+R62+R73+R126+R130</f>
        <v>2782219.3533333335</v>
      </c>
      <c r="S132" s="111">
        <f>S17+S29+S38+S50+S62+S73+S126+S130</f>
        <v>2118289.61</v>
      </c>
      <c r="T132" s="50">
        <f>+R132-S132</f>
        <v>663929.74333333364</v>
      </c>
      <c r="U132"/>
      <c r="V132" s="108">
        <f>V17+V29+V38+V50+V62+V73+V126+V130</f>
        <v>1958958.8865737705</v>
      </c>
      <c r="W132" s="109">
        <f>W17+W29+W38+W50+W62+W73+W126+W130</f>
        <v>2388122.3166985647</v>
      </c>
      <c r="X132" s="195">
        <f>X17+X29+X38+X50+X62+X73+X126+X130</f>
        <v>2322747.6171878478</v>
      </c>
      <c r="Y132" s="49">
        <v>1902745.62</v>
      </c>
      <c r="Z132" s="185">
        <f>V132-W132</f>
        <v>-429163.43012479413</v>
      </c>
      <c r="AA132"/>
      <c r="AB132" s="108">
        <f>AB17+AB29+AB38+AB50+AB62+AB73+AB126+AB85+AB109</f>
        <v>9386230.045071356</v>
      </c>
      <c r="AC132" s="195">
        <f>AC17+AC29+AC38+AC50+AC62+AC73+AC126+AC130</f>
        <v>9022532.7871878464</v>
      </c>
      <c r="AD132" s="111">
        <f>AD17+AD29+AD38+AD50+AD62+AD73+AD126+AD130</f>
        <v>8602530.7899999991</v>
      </c>
      <c r="AE132" s="50">
        <f>+AC132-AD132</f>
        <v>420001.99718784727</v>
      </c>
      <c r="AF132" s="186">
        <f>AE132/AB132</f>
        <v>4.4746612342874269E-2</v>
      </c>
    </row>
    <row r="133" spans="1:32" s="112" customFormat="1" ht="18.75" x14ac:dyDescent="0.3">
      <c r="A133" s="105"/>
      <c r="B133" s="106"/>
      <c r="C133" s="108"/>
      <c r="D133" s="111"/>
      <c r="E133" s="113"/>
      <c r="F133"/>
      <c r="G133" s="108"/>
      <c r="H133" s="109"/>
      <c r="I133" s="111"/>
      <c r="J133" s="113"/>
      <c r="K133"/>
      <c r="L133" s="108"/>
      <c r="M133" s="109"/>
      <c r="N133" s="111"/>
      <c r="O133" s="113"/>
      <c r="P133"/>
      <c r="Q133" s="108"/>
      <c r="R133" s="109"/>
      <c r="S133" s="111"/>
      <c r="T133" s="113"/>
      <c r="U133"/>
      <c r="V133" s="108"/>
      <c r="W133" s="109"/>
      <c r="X133" s="195"/>
      <c r="Y133" s="111"/>
      <c r="Z133" s="185"/>
      <c r="AA133"/>
      <c r="AB133" s="108"/>
      <c r="AC133" s="195"/>
      <c r="AD133" s="111"/>
      <c r="AE133" s="113"/>
      <c r="AF133" s="113"/>
    </row>
    <row r="134" spans="1:32" s="29" customFormat="1" ht="18.75" x14ac:dyDescent="0.3">
      <c r="A134" s="20" t="s">
        <v>64</v>
      </c>
      <c r="B134" s="20" t="s">
        <v>65</v>
      </c>
      <c r="C134" s="20"/>
      <c r="D134" s="20"/>
      <c r="E134" s="20"/>
      <c r="F134"/>
      <c r="G134" s="20"/>
      <c r="H134" s="20"/>
      <c r="I134" s="20"/>
      <c r="J134" s="20"/>
      <c r="K134"/>
      <c r="L134" s="20"/>
      <c r="M134" s="20"/>
      <c r="N134" s="20"/>
      <c r="O134" s="20"/>
      <c r="P134"/>
      <c r="Q134" s="20"/>
      <c r="R134" s="20"/>
      <c r="S134" s="20"/>
      <c r="T134" s="20"/>
      <c r="U134"/>
      <c r="V134" s="20"/>
      <c r="W134" s="20"/>
      <c r="X134" s="20"/>
      <c r="Y134" s="20"/>
      <c r="Z134" s="20"/>
      <c r="AA134"/>
      <c r="AB134" s="20"/>
      <c r="AC134" s="20"/>
      <c r="AD134" s="20"/>
      <c r="AE134" s="20"/>
      <c r="AF134" s="20"/>
    </row>
    <row r="135" spans="1:32" s="116" customFormat="1" ht="18.75" customHeight="1" x14ac:dyDescent="0.3">
      <c r="A135" s="115"/>
      <c r="B135" s="41" t="s">
        <v>66</v>
      </c>
      <c r="C135" s="34">
        <f>100000+(0.5*80000)</f>
        <v>140000</v>
      </c>
      <c r="D135" s="37">
        <v>179816</v>
      </c>
      <c r="E135" s="42"/>
      <c r="F135"/>
      <c r="G135" s="34">
        <f>100000+(0.5*80000)</f>
        <v>140000</v>
      </c>
      <c r="H135" s="35">
        <v>122080</v>
      </c>
      <c r="I135" s="37">
        <v>159677.10794697239</v>
      </c>
      <c r="J135" s="42"/>
      <c r="K135"/>
      <c r="L135" s="34">
        <f>100000+(0.5*80000)</f>
        <v>140000</v>
      </c>
      <c r="M135" s="35">
        <v>185817.5</v>
      </c>
      <c r="N135" s="37">
        <v>191691.33597193906</v>
      </c>
      <c r="O135" s="42"/>
      <c r="P135"/>
      <c r="Q135" s="34">
        <f>100000+(0.5*80000)</f>
        <v>140000</v>
      </c>
      <c r="R135" s="35">
        <v>135000</v>
      </c>
      <c r="S135" s="37">
        <v>112297.5</v>
      </c>
      <c r="T135" s="42"/>
      <c r="U135"/>
      <c r="V135" s="34">
        <f>100000+(0.5*80000)</f>
        <v>140000</v>
      </c>
      <c r="W135" s="35">
        <v>146000</v>
      </c>
      <c r="X135" s="182">
        <v>146000</v>
      </c>
      <c r="Y135" s="37">
        <v>134061.5</v>
      </c>
      <c r="Z135" s="194"/>
      <c r="AA135"/>
      <c r="AB135" s="34">
        <f>+C135+G135+L135+Q135+V135</f>
        <v>700000</v>
      </c>
      <c r="AC135" s="182">
        <f>D135+I135+N135+S135+X135</f>
        <v>789481.94391891139</v>
      </c>
      <c r="AD135" s="37">
        <f>+D135+I135+N135+S135+Y135</f>
        <v>777543.44391891139</v>
      </c>
      <c r="AE135" s="42"/>
      <c r="AF135" s="42"/>
    </row>
    <row r="136" spans="1:32" s="116" customFormat="1" ht="18.75" x14ac:dyDescent="0.3">
      <c r="A136" s="115"/>
      <c r="B136" s="41" t="s">
        <v>67</v>
      </c>
      <c r="C136" s="34">
        <v>100000</v>
      </c>
      <c r="D136" s="37"/>
      <c r="E136" s="42"/>
      <c r="F136"/>
      <c r="G136" s="34">
        <v>100000</v>
      </c>
      <c r="H136" s="82">
        <v>101200</v>
      </c>
      <c r="I136" s="37">
        <v>132366.67205302758</v>
      </c>
      <c r="J136" s="81"/>
      <c r="K136"/>
      <c r="L136" s="34">
        <v>100000</v>
      </c>
      <c r="M136" s="82">
        <v>95000</v>
      </c>
      <c r="N136" s="37">
        <v>98003.024028060929</v>
      </c>
      <c r="O136" s="81"/>
      <c r="P136"/>
      <c r="Q136" s="34">
        <v>100000</v>
      </c>
      <c r="R136" s="35">
        <v>100000</v>
      </c>
      <c r="S136" s="37">
        <v>120721.75</v>
      </c>
      <c r="T136" s="81"/>
      <c r="U136"/>
      <c r="V136" s="34">
        <v>100000</v>
      </c>
      <c r="W136" s="35">
        <v>100000</v>
      </c>
      <c r="X136" s="182">
        <v>100000</v>
      </c>
      <c r="Y136" s="37">
        <v>34007.369999999995</v>
      </c>
      <c r="Z136" s="194"/>
      <c r="AA136"/>
      <c r="AB136" s="34">
        <f>+C136+G136+L136+Q136+V136</f>
        <v>500000</v>
      </c>
      <c r="AC136" s="182">
        <f>D136+I136+N136+S136+X136</f>
        <v>451091.44608108851</v>
      </c>
      <c r="AD136" s="37">
        <f>+D136+I136+N136+S136+Y136</f>
        <v>385098.8160810885</v>
      </c>
      <c r="AE136" s="81"/>
      <c r="AF136" s="81"/>
    </row>
    <row r="137" spans="1:32" s="43" customFormat="1" ht="18.75" x14ac:dyDescent="0.3">
      <c r="A137" s="40"/>
      <c r="B137" s="117" t="s">
        <v>68</v>
      </c>
      <c r="C137" s="118">
        <f>SUM(C135:C136)</f>
        <v>240000</v>
      </c>
      <c r="D137" s="196">
        <f>SUM(D135:D136)</f>
        <v>179816</v>
      </c>
      <c r="E137" s="50">
        <f>+C137-D137</f>
        <v>60184</v>
      </c>
      <c r="F137"/>
      <c r="G137" s="118">
        <f>SUM(G135:G136)</f>
        <v>240000</v>
      </c>
      <c r="H137" s="119">
        <f>SUM(H135:H136)</f>
        <v>223280</v>
      </c>
      <c r="I137" s="196">
        <f>SUM(I135:I136)</f>
        <v>292043.77999999997</v>
      </c>
      <c r="J137" s="50">
        <f>+G137-I137</f>
        <v>-52043.77999999997</v>
      </c>
      <c r="K137"/>
      <c r="L137" s="118">
        <f>SUM(L135:L136)</f>
        <v>240000</v>
      </c>
      <c r="M137" s="119">
        <f>SUM(M135:M136)</f>
        <v>280817.5</v>
      </c>
      <c r="N137" s="49">
        <v>289694.36</v>
      </c>
      <c r="O137" s="50">
        <f>+M137-N137</f>
        <v>-8876.859999999986</v>
      </c>
      <c r="P137"/>
      <c r="Q137" s="118">
        <f>SUM(Q135:Q136)</f>
        <v>240000</v>
      </c>
      <c r="R137" s="119">
        <f>SUM(R135:R136)</f>
        <v>235000</v>
      </c>
      <c r="S137" s="56">
        <f>SUM(S135:S136)</f>
        <v>233019.25</v>
      </c>
      <c r="T137" s="50">
        <f>+R137-S137</f>
        <v>1980.75</v>
      </c>
      <c r="U137"/>
      <c r="V137" s="118">
        <f>SUM(V135:V136)</f>
        <v>240000</v>
      </c>
      <c r="W137" s="119">
        <f>SUM(W135:W136)</f>
        <v>246000</v>
      </c>
      <c r="X137" s="197">
        <f>SUM(X135:X136)</f>
        <v>246000</v>
      </c>
      <c r="Y137" s="49">
        <v>168068.87</v>
      </c>
      <c r="Z137" s="185">
        <f>V137-W137</f>
        <v>-6000</v>
      </c>
      <c r="AA137"/>
      <c r="AB137" s="118">
        <f>SUM(AB135:AB136)</f>
        <v>1200000</v>
      </c>
      <c r="AC137" s="197">
        <f>SUM(AC135:AC136)</f>
        <v>1240573.3899999999</v>
      </c>
      <c r="AD137" s="49">
        <f>SUM(AD135:AD136)</f>
        <v>1162642.2599999998</v>
      </c>
      <c r="AE137" s="50">
        <f>+AC137-AD137</f>
        <v>77931.130000000121</v>
      </c>
      <c r="AF137" s="186">
        <f>AE137/AB137</f>
        <v>6.4942608333333429E-2</v>
      </c>
    </row>
    <row r="138" spans="1:32" s="128" customFormat="1" ht="18.75" customHeight="1" x14ac:dyDescent="0.25">
      <c r="A138" s="121"/>
      <c r="B138" s="121"/>
      <c r="C138" s="123"/>
      <c r="D138" s="126"/>
      <c r="E138" s="121"/>
      <c r="F138"/>
      <c r="G138" s="123"/>
      <c r="H138" s="124"/>
      <c r="I138" s="126"/>
      <c r="J138" s="121"/>
      <c r="K138"/>
      <c r="L138" s="123"/>
      <c r="M138" s="124"/>
      <c r="N138" s="126"/>
      <c r="O138" s="121"/>
      <c r="P138"/>
      <c r="Q138" s="123"/>
      <c r="R138" s="124"/>
      <c r="S138" s="126"/>
      <c r="T138" s="121"/>
      <c r="U138"/>
      <c r="V138" s="123"/>
      <c r="W138" s="124"/>
      <c r="X138" s="198"/>
      <c r="Y138" s="126"/>
      <c r="Z138" s="199"/>
      <c r="AA138"/>
      <c r="AB138" s="123"/>
      <c r="AC138" s="198"/>
      <c r="AD138" s="126"/>
      <c r="AE138" s="121"/>
      <c r="AF138" s="121"/>
    </row>
    <row r="139" spans="1:32" ht="18.75" x14ac:dyDescent="0.3">
      <c r="A139" s="30"/>
      <c r="B139" s="129" t="s">
        <v>69</v>
      </c>
      <c r="C139" s="130">
        <v>85000</v>
      </c>
      <c r="D139" s="133">
        <v>81241.570000000007</v>
      </c>
      <c r="E139" s="131"/>
      <c r="G139" s="130"/>
      <c r="H139" s="132">
        <v>180000</v>
      </c>
      <c r="I139" s="133">
        <v>153972.03000000003</v>
      </c>
      <c r="J139" s="131"/>
      <c r="L139" s="130"/>
      <c r="M139" s="132">
        <v>195859.75</v>
      </c>
      <c r="N139" s="37">
        <v>191078.25</v>
      </c>
      <c r="O139" s="131"/>
      <c r="Q139" s="130"/>
      <c r="R139" s="35">
        <v>60000</v>
      </c>
      <c r="S139" s="133">
        <v>74928.5</v>
      </c>
      <c r="T139" s="131"/>
      <c r="V139" s="130"/>
      <c r="W139" s="35">
        <v>65000</v>
      </c>
      <c r="X139" s="182">
        <v>65000</v>
      </c>
      <c r="Y139" s="37">
        <v>58047.5</v>
      </c>
      <c r="Z139" s="194"/>
      <c r="AB139" s="34"/>
      <c r="AC139" s="182">
        <f>D139+I139+N139+S139+X139</f>
        <v>566220.35000000009</v>
      </c>
      <c r="AD139" s="37">
        <f>+D139+I139+N139+S139+Y139</f>
        <v>559267.85000000009</v>
      </c>
      <c r="AE139" s="131"/>
      <c r="AF139" s="131"/>
    </row>
    <row r="140" spans="1:32" ht="18.75" x14ac:dyDescent="0.3">
      <c r="A140" s="30"/>
      <c r="B140" s="129" t="s">
        <v>70</v>
      </c>
      <c r="C140" s="130">
        <v>115000</v>
      </c>
      <c r="D140" s="133"/>
      <c r="E140" s="131"/>
      <c r="G140" s="130"/>
      <c r="H140" s="119"/>
      <c r="I140" s="133"/>
      <c r="J140" s="134"/>
      <c r="L140" s="130"/>
      <c r="M140" s="119"/>
      <c r="N140" s="37">
        <v>0</v>
      </c>
      <c r="O140" s="134"/>
      <c r="Q140" s="130"/>
      <c r="R140" s="35">
        <v>100000</v>
      </c>
      <c r="S140" s="133">
        <v>77948.160000000003</v>
      </c>
      <c r="T140" s="134"/>
      <c r="V140" s="130"/>
      <c r="W140" s="35">
        <v>100000</v>
      </c>
      <c r="X140" s="182">
        <v>250000</v>
      </c>
      <c r="Y140" s="37">
        <v>10770.25</v>
      </c>
      <c r="Z140" s="194"/>
      <c r="AB140" s="34"/>
      <c r="AC140" s="182">
        <f>D140+I140+N140+S140+X140</f>
        <v>327948.16000000003</v>
      </c>
      <c r="AD140" s="37">
        <f>+D140+I140+N140+S140+Y140</f>
        <v>88718.41</v>
      </c>
      <c r="AE140" s="134"/>
      <c r="AF140" s="134"/>
    </row>
    <row r="141" spans="1:32" ht="18.75" x14ac:dyDescent="0.3">
      <c r="A141" s="30"/>
      <c r="B141" s="135" t="s">
        <v>71</v>
      </c>
      <c r="C141" s="118">
        <f>SUM(C139:C140)</f>
        <v>200000</v>
      </c>
      <c r="D141" s="196">
        <f>SUM(D139:D140)</f>
        <v>81241.570000000007</v>
      </c>
      <c r="E141" s="50">
        <f>+C141-D141</f>
        <v>118758.43</v>
      </c>
      <c r="G141" s="118">
        <v>180000</v>
      </c>
      <c r="H141" s="119">
        <f>SUM(H139:H140)</f>
        <v>180000</v>
      </c>
      <c r="I141" s="196">
        <f>SUM(I139:I140)</f>
        <v>153972.03000000003</v>
      </c>
      <c r="J141" s="50">
        <f>+G141-I141</f>
        <v>26027.969999999972</v>
      </c>
      <c r="L141" s="118">
        <v>170000</v>
      </c>
      <c r="M141" s="119">
        <f>SUM(M139:M140)</f>
        <v>195859.75</v>
      </c>
      <c r="N141" s="49">
        <f>+N139</f>
        <v>191078.25</v>
      </c>
      <c r="O141" s="50">
        <f>+M141-N141</f>
        <v>4781.5</v>
      </c>
      <c r="Q141" s="118">
        <v>160000</v>
      </c>
      <c r="R141" s="119">
        <f>SUM(R139:R140)</f>
        <v>160000</v>
      </c>
      <c r="S141" s="56">
        <f>SUM(S139:S140)</f>
        <v>152876.66</v>
      </c>
      <c r="T141" s="50">
        <f>+R141-S141</f>
        <v>7123.3399999999965</v>
      </c>
      <c r="V141" s="118">
        <v>150000</v>
      </c>
      <c r="W141" s="119">
        <f>SUM(W139:W140)</f>
        <v>165000</v>
      </c>
      <c r="X141" s="197">
        <f>SUM(X139:X140)</f>
        <v>315000</v>
      </c>
      <c r="Y141" s="49">
        <v>68817.75</v>
      </c>
      <c r="Z141" s="185">
        <f>V141-W141</f>
        <v>-15000</v>
      </c>
      <c r="AB141" s="46">
        <f>+C141+G141+L141+Q141+V141</f>
        <v>860000</v>
      </c>
      <c r="AC141" s="197">
        <f>SUM(AC139:AC140)</f>
        <v>894168.51000000013</v>
      </c>
      <c r="AD141" s="49">
        <f>SUM(AD139:AD140)</f>
        <v>647986.26000000013</v>
      </c>
      <c r="AE141" s="50">
        <f>+AC141-AD141</f>
        <v>246182.25</v>
      </c>
      <c r="AF141" s="186">
        <f>AE141/AB141</f>
        <v>0.28625843023255815</v>
      </c>
    </row>
    <row r="142" spans="1:32" ht="18.75" customHeight="1" x14ac:dyDescent="0.25">
      <c r="A142" s="136"/>
      <c r="B142" s="136"/>
      <c r="C142" s="138"/>
      <c r="D142" s="141"/>
      <c r="E142" s="136"/>
      <c r="G142" s="138"/>
      <c r="H142" s="139"/>
      <c r="I142" s="141"/>
      <c r="J142" s="136"/>
      <c r="L142" s="138"/>
      <c r="M142" s="139"/>
      <c r="N142" s="141"/>
      <c r="O142" s="136"/>
      <c r="Q142" s="138"/>
      <c r="R142" s="139"/>
      <c r="S142" s="141"/>
      <c r="T142" s="136"/>
      <c r="V142" s="138"/>
      <c r="W142" s="139"/>
      <c r="X142" s="200"/>
      <c r="Y142" s="141"/>
      <c r="Z142" s="201"/>
      <c r="AB142" s="138"/>
      <c r="AC142" s="200"/>
      <c r="AD142" s="141"/>
      <c r="AE142" s="136"/>
      <c r="AF142" s="136"/>
    </row>
    <row r="143" spans="1:32" s="112" customFormat="1" ht="18.75" x14ac:dyDescent="0.3">
      <c r="A143" s="105" t="s">
        <v>72</v>
      </c>
      <c r="B143" s="106"/>
      <c r="C143" s="143">
        <f>C137+C141</f>
        <v>440000</v>
      </c>
      <c r="D143" s="146">
        <f>D137+D141</f>
        <v>261057.57</v>
      </c>
      <c r="E143" s="50">
        <f>+C143-D143</f>
        <v>178942.43</v>
      </c>
      <c r="F143"/>
      <c r="G143" s="143">
        <f>G137+G141</f>
        <v>420000</v>
      </c>
      <c r="H143" s="144">
        <f>H137+H141</f>
        <v>403280</v>
      </c>
      <c r="I143" s="146">
        <f>I137+I141</f>
        <v>446015.81</v>
      </c>
      <c r="J143" s="50">
        <f>+G143-I143</f>
        <v>-26015.809999999998</v>
      </c>
      <c r="K143"/>
      <c r="L143" s="143">
        <f>L137+L141</f>
        <v>410000</v>
      </c>
      <c r="M143" s="144">
        <f>M137+M141</f>
        <v>476677.25</v>
      </c>
      <c r="N143" s="146">
        <f>N137+N141</f>
        <v>480772.61</v>
      </c>
      <c r="O143" s="50">
        <f>+M143-N143</f>
        <v>-4095.359999999986</v>
      </c>
      <c r="P143"/>
      <c r="Q143" s="143">
        <f>Q137+Q141</f>
        <v>400000</v>
      </c>
      <c r="R143" s="144">
        <f>R137+R141</f>
        <v>395000</v>
      </c>
      <c r="S143" s="146">
        <f>S137+S141</f>
        <v>385895.91000000003</v>
      </c>
      <c r="T143" s="50">
        <f>+R143-S143</f>
        <v>9104.0899999999674</v>
      </c>
      <c r="U143"/>
      <c r="V143" s="143">
        <f>V137+V141</f>
        <v>390000</v>
      </c>
      <c r="W143" s="144">
        <f>W137+W141</f>
        <v>411000</v>
      </c>
      <c r="X143" s="202">
        <f>X137+X141</f>
        <v>561000</v>
      </c>
      <c r="Y143" s="49">
        <v>236886.62</v>
      </c>
      <c r="Z143" s="185">
        <f>V143-W143</f>
        <v>-21000</v>
      </c>
      <c r="AA143"/>
      <c r="AB143" s="143">
        <f>AB137+AB141</f>
        <v>2060000</v>
      </c>
      <c r="AC143" s="202">
        <f>AC137+AC141</f>
        <v>2134741.9</v>
      </c>
      <c r="AD143" s="146">
        <f>AD137+AD141</f>
        <v>1810628.52</v>
      </c>
      <c r="AE143" s="50">
        <f>+AC143-AD143</f>
        <v>324113.37999999989</v>
      </c>
      <c r="AF143" s="186">
        <f>AE143/AB143</f>
        <v>0.15733659223300966</v>
      </c>
    </row>
    <row r="144" spans="1:32" s="112" customFormat="1" ht="18.75" x14ac:dyDescent="0.3">
      <c r="A144" s="105"/>
      <c r="B144" s="106"/>
      <c r="C144" s="143"/>
      <c r="D144" s="146"/>
      <c r="E144" s="106"/>
      <c r="F144"/>
      <c r="G144" s="143"/>
      <c r="H144" s="144"/>
      <c r="I144" s="146"/>
      <c r="J144" s="106"/>
      <c r="K144"/>
      <c r="L144" s="143"/>
      <c r="M144" s="144"/>
      <c r="N144" s="146"/>
      <c r="O144" s="106"/>
      <c r="P144"/>
      <c r="Q144" s="143"/>
      <c r="R144" s="144"/>
      <c r="S144" s="146"/>
      <c r="T144" s="106"/>
      <c r="U144"/>
      <c r="V144" s="143"/>
      <c r="W144" s="144"/>
      <c r="X144" s="202"/>
      <c r="Y144" s="146"/>
      <c r="Z144" s="203"/>
      <c r="AA144"/>
      <c r="AB144" s="143"/>
      <c r="AC144" s="202"/>
      <c r="AD144" s="146"/>
      <c r="AE144" s="106"/>
      <c r="AF144" s="186"/>
    </row>
    <row r="145" spans="1:32" s="19" customFormat="1" ht="20.25" x14ac:dyDescent="0.3">
      <c r="A145" s="16" t="s">
        <v>73</v>
      </c>
      <c r="B145" s="16" t="s">
        <v>74</v>
      </c>
      <c r="C145" s="16"/>
      <c r="D145" s="16"/>
      <c r="E145" s="16"/>
      <c r="F145"/>
      <c r="G145" s="16"/>
      <c r="H145" s="16"/>
      <c r="I145" s="16"/>
      <c r="J145" s="16"/>
      <c r="K145"/>
      <c r="L145" s="16"/>
      <c r="M145" s="16"/>
      <c r="N145" s="16"/>
      <c r="O145" s="16"/>
      <c r="P145"/>
      <c r="Q145" s="16"/>
      <c r="R145" s="16"/>
      <c r="S145" s="16"/>
      <c r="T145" s="16"/>
      <c r="U145"/>
      <c r="V145" s="16"/>
      <c r="W145" s="16"/>
      <c r="X145" s="16"/>
      <c r="Y145" s="16"/>
      <c r="Z145" s="16"/>
      <c r="AA145"/>
      <c r="AB145" s="16"/>
      <c r="AC145" s="16"/>
      <c r="AD145" s="16"/>
      <c r="AE145" s="16"/>
      <c r="AF145" s="16"/>
    </row>
    <row r="146" spans="1:32" s="29" customFormat="1" ht="18.75" x14ac:dyDescent="0.3">
      <c r="A146" s="20" t="s">
        <v>75</v>
      </c>
      <c r="B146" s="20" t="s">
        <v>76</v>
      </c>
      <c r="C146" s="20"/>
      <c r="D146" s="20"/>
      <c r="E146" s="20"/>
      <c r="F146"/>
      <c r="G146" s="20"/>
      <c r="H146" s="20"/>
      <c r="I146" s="20"/>
      <c r="J146" s="20"/>
      <c r="K146"/>
      <c r="L146" s="20"/>
      <c r="M146" s="20"/>
      <c r="N146" s="20"/>
      <c r="O146" s="20"/>
      <c r="P146"/>
      <c r="Q146" s="20"/>
      <c r="R146" s="20"/>
      <c r="S146" s="20"/>
      <c r="T146" s="20"/>
      <c r="U146"/>
      <c r="V146" s="20"/>
      <c r="W146" s="20"/>
      <c r="X146" s="20"/>
      <c r="Y146" s="20"/>
      <c r="Z146" s="20"/>
      <c r="AA146"/>
      <c r="AB146" s="20"/>
      <c r="AC146" s="20"/>
      <c r="AD146" s="20"/>
      <c r="AE146" s="20"/>
      <c r="AF146" s="20"/>
    </row>
    <row r="147" spans="1:32" s="43" customFormat="1" ht="18.75" customHeight="1" x14ac:dyDescent="0.3">
      <c r="A147" s="40"/>
      <c r="B147" s="179" t="s">
        <v>77</v>
      </c>
      <c r="C147" s="34">
        <v>80000</v>
      </c>
      <c r="D147" s="37">
        <v>80000</v>
      </c>
      <c r="E147" s="38"/>
      <c r="F147"/>
      <c r="G147" s="34">
        <v>80000</v>
      </c>
      <c r="H147" s="35">
        <v>82400</v>
      </c>
      <c r="I147" s="37">
        <v>95645.551660079029</v>
      </c>
      <c r="J147" s="38"/>
      <c r="K147"/>
      <c r="L147" s="34">
        <v>80000</v>
      </c>
      <c r="M147" s="35">
        <v>80000</v>
      </c>
      <c r="N147" s="37">
        <v>78986.569411764707</v>
      </c>
      <c r="O147" s="38"/>
      <c r="P147"/>
      <c r="Q147" s="34">
        <v>80000</v>
      </c>
      <c r="R147" s="35">
        <v>80000</v>
      </c>
      <c r="S147" s="37">
        <v>58078</v>
      </c>
      <c r="T147" s="38"/>
      <c r="U147"/>
      <c r="V147" s="34">
        <v>80000</v>
      </c>
      <c r="W147" s="35">
        <v>133000</v>
      </c>
      <c r="X147" s="182">
        <v>133000</v>
      </c>
      <c r="Y147" s="37">
        <v>136701</v>
      </c>
      <c r="Z147" s="194"/>
      <c r="AA147"/>
      <c r="AB147" s="34">
        <f>+C147+G147+L147+Q147+V147</f>
        <v>400000</v>
      </c>
      <c r="AC147" s="182">
        <f>D147+I147+N147+S147+X147</f>
        <v>445710.12107184378</v>
      </c>
      <c r="AD147" s="37">
        <f>+D147+I147+N147+S147+Y147</f>
        <v>449411.12107184378</v>
      </c>
      <c r="AE147" s="38"/>
      <c r="AF147" s="38"/>
    </row>
    <row r="148" spans="1:32" s="128" customFormat="1" ht="18.75" x14ac:dyDescent="0.3">
      <c r="A148" s="150"/>
      <c r="B148" s="179" t="s">
        <v>78</v>
      </c>
      <c r="C148" s="34">
        <v>70000</v>
      </c>
      <c r="D148" s="37">
        <v>52260</v>
      </c>
      <c r="E148" s="38"/>
      <c r="F148"/>
      <c r="G148" s="34">
        <v>70000</v>
      </c>
      <c r="H148" s="35">
        <v>120000</v>
      </c>
      <c r="I148" s="37">
        <v>139289.63833992093</v>
      </c>
      <c r="J148" s="38"/>
      <c r="K148"/>
      <c r="L148" s="34">
        <v>70000</v>
      </c>
      <c r="M148" s="35">
        <v>90000</v>
      </c>
      <c r="N148" s="37">
        <v>88859.890588235285</v>
      </c>
      <c r="O148" s="38"/>
      <c r="P148"/>
      <c r="Q148" s="34">
        <v>70000</v>
      </c>
      <c r="R148" s="35">
        <v>70000</v>
      </c>
      <c r="S148" s="37">
        <v>97713</v>
      </c>
      <c r="T148" s="38"/>
      <c r="U148"/>
      <c r="V148" s="34">
        <v>70000</v>
      </c>
      <c r="W148" s="35">
        <v>70000</v>
      </c>
      <c r="X148" s="182">
        <v>70000</v>
      </c>
      <c r="Y148" s="37">
        <v>89852.45</v>
      </c>
      <c r="Z148" s="194"/>
      <c r="AA148"/>
      <c r="AB148" s="34">
        <f>+C148+G148+L148+Q148+V148</f>
        <v>350000</v>
      </c>
      <c r="AC148" s="182">
        <f>D148+I148+N148+S148+X148</f>
        <v>448122.52892815624</v>
      </c>
      <c r="AD148" s="37">
        <f>+D148+I148+N148+S148+Y148</f>
        <v>467974.97892815626</v>
      </c>
      <c r="AE148" s="38"/>
      <c r="AF148" s="38"/>
    </row>
    <row r="149" spans="1:32" ht="18.75" x14ac:dyDescent="0.3">
      <c r="A149" s="30"/>
      <c r="B149" s="178" t="s">
        <v>36</v>
      </c>
      <c r="C149" s="108">
        <f>SUM(C147:C148)</f>
        <v>150000</v>
      </c>
      <c r="D149" s="111">
        <f>SUM(D147:D148)</f>
        <v>132260</v>
      </c>
      <c r="E149" s="50">
        <f>+C149-D149</f>
        <v>17740</v>
      </c>
      <c r="G149" s="108">
        <f>SUM(G147:G148)</f>
        <v>150000</v>
      </c>
      <c r="H149" s="109">
        <f>SUM(H147:H148)</f>
        <v>202400</v>
      </c>
      <c r="I149" s="111">
        <f>SUM(I147:I148)</f>
        <v>234935.18999999994</v>
      </c>
      <c r="J149" s="50">
        <f>+G149-I149</f>
        <v>-84935.189999999944</v>
      </c>
      <c r="L149" s="108">
        <f>SUM(L147:L148)</f>
        <v>150000</v>
      </c>
      <c r="M149" s="109">
        <f>SUM(M147:M148)</f>
        <v>170000</v>
      </c>
      <c r="N149" s="49">
        <v>167846.46</v>
      </c>
      <c r="O149" s="50">
        <f>+M149-N149</f>
        <v>2153.5400000000081</v>
      </c>
      <c r="Q149" s="108">
        <f>SUM(Q147:Q148)</f>
        <v>150000</v>
      </c>
      <c r="R149" s="109">
        <f>SUM(R147:R148)</f>
        <v>150000</v>
      </c>
      <c r="S149" s="56">
        <f>SUM(S147:S148)</f>
        <v>155791</v>
      </c>
      <c r="T149" s="50">
        <f>+R149-S149</f>
        <v>-5791</v>
      </c>
      <c r="V149" s="108">
        <f>SUM(V147:V148)</f>
        <v>150000</v>
      </c>
      <c r="W149" s="109">
        <f>SUM(W147:W148)</f>
        <v>203000</v>
      </c>
      <c r="X149" s="195">
        <f>SUM(X147:X148)</f>
        <v>203000</v>
      </c>
      <c r="Y149" s="49">
        <v>226553.45</v>
      </c>
      <c r="Z149" s="185">
        <f>V149-W149</f>
        <v>-53000</v>
      </c>
      <c r="AB149" s="108">
        <f>SUM(AB147:AB148)</f>
        <v>750000</v>
      </c>
      <c r="AC149" s="195">
        <f>SUM(AC147:AC148)</f>
        <v>893832.65</v>
      </c>
      <c r="AD149" s="49">
        <f>SUM(AD147:AD148)</f>
        <v>917386.10000000009</v>
      </c>
      <c r="AE149" s="50">
        <f>+AC149-AD149</f>
        <v>-23553.45000000007</v>
      </c>
      <c r="AF149" s="186">
        <f>AE149/AB149</f>
        <v>-3.1404600000000095E-2</v>
      </c>
    </row>
    <row r="150" spans="1:32" ht="18.75" customHeight="1" x14ac:dyDescent="0.25">
      <c r="A150" s="136"/>
      <c r="B150" s="136"/>
      <c r="C150" s="138"/>
      <c r="D150" s="141"/>
      <c r="E150" s="136"/>
      <c r="G150" s="138"/>
      <c r="H150" s="139"/>
      <c r="I150" s="141"/>
      <c r="J150" s="136"/>
      <c r="L150" s="138"/>
      <c r="M150" s="139"/>
      <c r="N150" s="141"/>
      <c r="O150" s="136"/>
      <c r="Q150" s="138"/>
      <c r="R150" s="139"/>
      <c r="S150" s="141"/>
      <c r="T150" s="136"/>
      <c r="V150" s="138"/>
      <c r="W150" s="139"/>
      <c r="X150" s="200"/>
      <c r="Y150" s="141"/>
      <c r="Z150" s="201"/>
      <c r="AB150" s="138"/>
      <c r="AC150" s="200"/>
      <c r="AD150" s="141"/>
      <c r="AE150" s="136"/>
      <c r="AF150" s="136"/>
    </row>
    <row r="151" spans="1:32" s="29" customFormat="1" ht="18.75" x14ac:dyDescent="0.3">
      <c r="A151" s="20" t="s">
        <v>79</v>
      </c>
      <c r="B151" s="20" t="s">
        <v>80</v>
      </c>
      <c r="C151" s="20"/>
      <c r="D151" s="20"/>
      <c r="E151" s="20"/>
      <c r="F151"/>
      <c r="G151" s="20"/>
      <c r="H151" s="20"/>
      <c r="I151" s="20"/>
      <c r="J151" s="20"/>
      <c r="K151"/>
      <c r="L151" s="20"/>
      <c r="M151" s="20"/>
      <c r="N151" s="20"/>
      <c r="O151" s="20"/>
      <c r="P151"/>
      <c r="Q151" s="20"/>
      <c r="R151" s="20"/>
      <c r="S151" s="20"/>
      <c r="T151" s="20"/>
      <c r="U151"/>
      <c r="V151" s="20"/>
      <c r="W151" s="20"/>
      <c r="X151" s="20"/>
      <c r="Y151" s="20"/>
      <c r="Z151" s="20"/>
      <c r="AA151"/>
      <c r="AB151" s="20"/>
      <c r="AC151" s="20"/>
      <c r="AD151" s="20"/>
      <c r="AE151" s="20"/>
      <c r="AF151" s="20"/>
    </row>
    <row r="152" spans="1:32" s="43" customFormat="1" ht="18.75" customHeight="1" x14ac:dyDescent="0.3">
      <c r="A152" s="40"/>
      <c r="B152" s="153" t="s">
        <v>81</v>
      </c>
      <c r="C152" s="130">
        <v>40000</v>
      </c>
      <c r="D152" s="133">
        <v>40000</v>
      </c>
      <c r="E152" s="154"/>
      <c r="F152"/>
      <c r="G152" s="130">
        <v>40000</v>
      </c>
      <c r="H152" s="132">
        <v>41200</v>
      </c>
      <c r="I152" s="133">
        <v>16353.47980746089</v>
      </c>
      <c r="J152" s="154"/>
      <c r="K152"/>
      <c r="L152" s="130">
        <v>40000</v>
      </c>
      <c r="M152" s="132">
        <v>40000</v>
      </c>
      <c r="N152" s="37">
        <v>48986</v>
      </c>
      <c r="O152" s="154"/>
      <c r="P152"/>
      <c r="Q152" s="130">
        <v>40000</v>
      </c>
      <c r="R152" s="35">
        <v>50000</v>
      </c>
      <c r="S152" s="133">
        <v>24504.2</v>
      </c>
      <c r="T152" s="154"/>
      <c r="U152"/>
      <c r="V152" s="130">
        <v>40000</v>
      </c>
      <c r="W152" s="35">
        <v>50000</v>
      </c>
      <c r="X152" s="182">
        <v>50000</v>
      </c>
      <c r="Y152" s="37">
        <v>37626.550000000003</v>
      </c>
      <c r="Z152" s="194"/>
      <c r="AA152"/>
      <c r="AB152" s="34">
        <f>+C152+G152+L152+Q152+V152</f>
        <v>200000</v>
      </c>
      <c r="AC152" s="182">
        <f>D152+I152+N152+S152+X152</f>
        <v>179843.67980746087</v>
      </c>
      <c r="AD152" s="37">
        <f>+D152+I152+N152+S152+Y152</f>
        <v>167470.22980746088</v>
      </c>
      <c r="AE152" s="154"/>
      <c r="AF152" s="154"/>
    </row>
    <row r="153" spans="1:32" s="128" customFormat="1" ht="18.75" x14ac:dyDescent="0.3">
      <c r="A153" s="150"/>
      <c r="B153" s="179" t="s">
        <v>83</v>
      </c>
      <c r="C153" s="157"/>
      <c r="D153" s="158"/>
      <c r="E153" s="156"/>
      <c r="F153"/>
      <c r="G153" s="157"/>
      <c r="H153" s="204"/>
      <c r="I153" s="158"/>
      <c r="J153" s="156"/>
      <c r="K153"/>
      <c r="L153" s="34">
        <v>0</v>
      </c>
      <c r="M153" s="35">
        <v>120000</v>
      </c>
      <c r="N153" s="37">
        <v>97265.16</v>
      </c>
      <c r="O153" s="156"/>
      <c r="P153"/>
      <c r="Q153" s="34">
        <v>180000</v>
      </c>
      <c r="R153" s="35">
        <v>60000</v>
      </c>
      <c r="S153" s="133">
        <v>0</v>
      </c>
      <c r="T153" s="156"/>
      <c r="U153"/>
      <c r="V153" s="157"/>
      <c r="W153" s="35">
        <v>75000</v>
      </c>
      <c r="X153" s="182">
        <v>75000</v>
      </c>
      <c r="Y153" s="37">
        <v>81917</v>
      </c>
      <c r="Z153" s="194"/>
      <c r="AA153"/>
      <c r="AB153" s="34">
        <f>+C153+G153+L153+Q153+V153</f>
        <v>180000</v>
      </c>
      <c r="AC153" s="182">
        <f>D153+I153+N153+S153+X153</f>
        <v>172265.16</v>
      </c>
      <c r="AD153" s="37">
        <f>+D153+I153+N153+S153+Y153</f>
        <v>179182.16</v>
      </c>
      <c r="AE153" s="156"/>
      <c r="AF153" s="156"/>
    </row>
    <row r="154" spans="1:32" s="116" customFormat="1" ht="18.75" x14ac:dyDescent="0.3">
      <c r="A154" s="115"/>
      <c r="B154" s="41" t="s">
        <v>84</v>
      </c>
      <c r="C154" s="34">
        <v>100000</v>
      </c>
      <c r="D154" s="37">
        <v>29955.4</v>
      </c>
      <c r="E154" s="42"/>
      <c r="F154"/>
      <c r="G154" s="34">
        <v>100000</v>
      </c>
      <c r="H154" s="35">
        <v>100000</v>
      </c>
      <c r="I154" s="37">
        <v>39692.912154031284</v>
      </c>
      <c r="J154" s="42"/>
      <c r="K154"/>
      <c r="L154" s="34">
        <v>100000</v>
      </c>
      <c r="M154" s="35">
        <v>75000</v>
      </c>
      <c r="N154" s="37">
        <v>61710.84</v>
      </c>
      <c r="O154" s="42"/>
      <c r="P154"/>
      <c r="Q154" s="34">
        <v>100000</v>
      </c>
      <c r="R154" s="35">
        <v>138000</v>
      </c>
      <c r="S154" s="133">
        <v>91448</v>
      </c>
      <c r="T154" s="42"/>
      <c r="U154"/>
      <c r="V154" s="34">
        <v>100000</v>
      </c>
      <c r="W154" s="35">
        <v>119000</v>
      </c>
      <c r="X154" s="182">
        <v>119000</v>
      </c>
      <c r="Y154" s="37">
        <v>122724</v>
      </c>
      <c r="Z154" s="194"/>
      <c r="AA154"/>
      <c r="AB154" s="34">
        <f>+C154+G154+L154+Q154+V154</f>
        <v>500000</v>
      </c>
      <c r="AC154" s="182">
        <f>D154+I154+N154+S154+X154</f>
        <v>341807.15215403127</v>
      </c>
      <c r="AD154" s="37">
        <f>+D154+I154+N154+S154+Y154</f>
        <v>345531.15215403127</v>
      </c>
      <c r="AE154" s="42"/>
      <c r="AF154" s="42"/>
    </row>
    <row r="155" spans="1:32" s="128" customFormat="1" ht="18.75" x14ac:dyDescent="0.3">
      <c r="A155" s="150"/>
      <c r="B155" s="179" t="s">
        <v>85</v>
      </c>
      <c r="C155" s="34">
        <v>25000</v>
      </c>
      <c r="D155" s="37">
        <v>4000</v>
      </c>
      <c r="E155" s="38"/>
      <c r="F155"/>
      <c r="G155" s="34">
        <v>25000</v>
      </c>
      <c r="H155" s="35">
        <v>25000</v>
      </c>
      <c r="I155" s="37">
        <v>9923.2280385078211</v>
      </c>
      <c r="J155" s="38"/>
      <c r="K155"/>
      <c r="L155" s="34">
        <v>25000</v>
      </c>
      <c r="M155" s="35">
        <v>25000</v>
      </c>
      <c r="N155" s="37">
        <v>3277.17</v>
      </c>
      <c r="O155" s="38"/>
      <c r="P155"/>
      <c r="Q155" s="34">
        <v>25000</v>
      </c>
      <c r="R155" s="35">
        <v>93000</v>
      </c>
      <c r="S155" s="133">
        <v>89649.25</v>
      </c>
      <c r="T155" s="38"/>
      <c r="U155"/>
      <c r="V155" s="34">
        <v>25000</v>
      </c>
      <c r="W155" s="35">
        <v>25000</v>
      </c>
      <c r="X155" s="182">
        <v>25000</v>
      </c>
      <c r="Y155" s="37">
        <v>10069.4</v>
      </c>
      <c r="Z155" s="194"/>
      <c r="AA155"/>
      <c r="AB155" s="34">
        <f>+C155+G155+L155+Q155+V155</f>
        <v>125000</v>
      </c>
      <c r="AC155" s="182">
        <f>D155+I155+N155+S155+X155</f>
        <v>131849.64803850782</v>
      </c>
      <c r="AD155" s="37">
        <f>+D155+I155+N155+S155+Y155</f>
        <v>116919.04803850781</v>
      </c>
      <c r="AE155" s="38"/>
      <c r="AF155" s="38"/>
    </row>
    <row r="156" spans="1:32" s="84" customFormat="1" ht="18.75" x14ac:dyDescent="0.3">
      <c r="A156" s="30"/>
      <c r="B156" s="178" t="s">
        <v>36</v>
      </c>
      <c r="C156" s="108">
        <f>SUM(C152:C155)</f>
        <v>165000</v>
      </c>
      <c r="D156" s="111">
        <f>SUM(D152:D155)</f>
        <v>73955.399999999994</v>
      </c>
      <c r="E156" s="50">
        <f>+C156-D156</f>
        <v>91044.6</v>
      </c>
      <c r="F156"/>
      <c r="G156" s="108">
        <f>SUM(G152:G155)</f>
        <v>165000</v>
      </c>
      <c r="H156" s="109">
        <f>SUM(H152:H155)</f>
        <v>166200</v>
      </c>
      <c r="I156" s="111">
        <f>SUM(I152:I155)</f>
        <v>65969.62</v>
      </c>
      <c r="J156" s="50">
        <f>+G156-I156</f>
        <v>99030.38</v>
      </c>
      <c r="K156"/>
      <c r="L156" s="108">
        <f>SUM(L152:L155)</f>
        <v>165000</v>
      </c>
      <c r="M156" s="109">
        <f>SUM(M152:M155)</f>
        <v>260000</v>
      </c>
      <c r="N156" s="49">
        <v>211239.16999999998</v>
      </c>
      <c r="O156" s="50">
        <f>+M156-N156</f>
        <v>48760.830000000016</v>
      </c>
      <c r="P156"/>
      <c r="Q156" s="108">
        <f>SUM(Q152:Q155)</f>
        <v>345000</v>
      </c>
      <c r="R156" s="109">
        <f>SUM(R152:R155)</f>
        <v>341000</v>
      </c>
      <c r="S156" s="49">
        <f>SUM(S152:S155)</f>
        <v>205601.45</v>
      </c>
      <c r="T156" s="50">
        <f>+R156-S156</f>
        <v>135398.54999999999</v>
      </c>
      <c r="U156"/>
      <c r="V156" s="108">
        <f>SUM(V152:V155)</f>
        <v>165000</v>
      </c>
      <c r="W156" s="47">
        <f>SUM(W152:W155)</f>
        <v>269000</v>
      </c>
      <c r="X156" s="183">
        <f>SUM(X152:X155)</f>
        <v>269000</v>
      </c>
      <c r="Y156" s="49">
        <v>252336.94999999998</v>
      </c>
      <c r="Z156" s="185">
        <f>V156-W156</f>
        <v>-104000</v>
      </c>
      <c r="AA156"/>
      <c r="AB156" s="108">
        <f>SUM(AB152:AB155)</f>
        <v>1005000</v>
      </c>
      <c r="AC156" s="183">
        <f>SUM(AC152:AC155)</f>
        <v>825765.64</v>
      </c>
      <c r="AD156" s="49">
        <f>SUM(AD152:AD155)</f>
        <v>809102.59</v>
      </c>
      <c r="AE156" s="50">
        <f>+AC156-AD156</f>
        <v>16663.050000000047</v>
      </c>
      <c r="AF156" s="186">
        <f>AE156/AB156</f>
        <v>1.6580149253731389E-2</v>
      </c>
    </row>
    <row r="157" spans="1:32" s="84" customFormat="1" ht="18.75" x14ac:dyDescent="0.3">
      <c r="A157" s="30"/>
      <c r="B157" s="178"/>
      <c r="C157" s="108"/>
      <c r="D157" s="111"/>
      <c r="E157" s="50"/>
      <c r="F157"/>
      <c r="G157" s="108"/>
      <c r="H157" s="109"/>
      <c r="I157" s="111"/>
      <c r="J157" s="50"/>
      <c r="K157"/>
      <c r="L157" s="108"/>
      <c r="M157" s="109"/>
      <c r="N157" s="111"/>
      <c r="O157" s="50"/>
      <c r="P157"/>
      <c r="Q157" s="108"/>
      <c r="R157" s="109"/>
      <c r="S157" s="111"/>
      <c r="T157" s="50"/>
      <c r="U157"/>
      <c r="V157" s="108"/>
      <c r="W157" s="109"/>
      <c r="X157" s="195"/>
      <c r="Y157" s="111"/>
      <c r="Z157" s="185"/>
      <c r="AA157"/>
      <c r="AB157" s="108"/>
      <c r="AC157" s="195"/>
      <c r="AD157" s="111"/>
      <c r="AE157" s="50"/>
      <c r="AF157" s="50"/>
    </row>
    <row r="158" spans="1:32" s="29" customFormat="1" ht="18.75" x14ac:dyDescent="0.3">
      <c r="A158" s="20" t="s">
        <v>86</v>
      </c>
      <c r="B158" s="20" t="s">
        <v>87</v>
      </c>
      <c r="C158" s="20"/>
      <c r="D158" s="20"/>
      <c r="E158" s="20"/>
      <c r="F158"/>
      <c r="G158" s="20"/>
      <c r="H158" s="20"/>
      <c r="I158" s="20"/>
      <c r="J158" s="20"/>
      <c r="K158"/>
      <c r="L158" s="20"/>
      <c r="M158" s="20"/>
      <c r="N158" s="20"/>
      <c r="O158" s="20"/>
      <c r="P158"/>
      <c r="Q158" s="20"/>
      <c r="R158" s="20"/>
      <c r="S158" s="20"/>
      <c r="T158" s="20"/>
      <c r="U158"/>
      <c r="V158" s="20"/>
      <c r="W158" s="20"/>
      <c r="X158" s="20"/>
      <c r="Y158" s="20"/>
      <c r="Z158" s="20"/>
      <c r="AA158"/>
      <c r="AB158" s="20"/>
      <c r="AC158" s="20"/>
      <c r="AD158" s="20"/>
      <c r="AE158" s="20"/>
      <c r="AF158" s="20"/>
    </row>
    <row r="159" spans="1:32" s="43" customFormat="1" ht="18.75" x14ac:dyDescent="0.3">
      <c r="A159" s="40"/>
      <c r="B159" s="153" t="s">
        <v>88</v>
      </c>
      <c r="C159" s="130">
        <v>0</v>
      </c>
      <c r="D159" s="133">
        <v>0</v>
      </c>
      <c r="E159" s="154"/>
      <c r="F159"/>
      <c r="G159" s="130">
        <v>0</v>
      </c>
      <c r="H159" s="132">
        <v>0</v>
      </c>
      <c r="I159" s="133">
        <v>0</v>
      </c>
      <c r="J159" s="154"/>
      <c r="K159"/>
      <c r="L159" s="130">
        <v>0</v>
      </c>
      <c r="M159" s="132">
        <v>25000</v>
      </c>
      <c r="N159" s="37">
        <v>21952.125103826984</v>
      </c>
      <c r="O159" s="154"/>
      <c r="P159"/>
      <c r="Q159" s="130">
        <v>0</v>
      </c>
      <c r="R159" s="35">
        <v>21000</v>
      </c>
      <c r="S159" s="37">
        <v>40248</v>
      </c>
      <c r="T159" s="154"/>
      <c r="U159"/>
      <c r="V159" s="130">
        <v>0</v>
      </c>
      <c r="W159" s="35">
        <v>25000</v>
      </c>
      <c r="X159" s="182">
        <v>25000</v>
      </c>
      <c r="Y159" s="37">
        <v>29293</v>
      </c>
      <c r="Z159" s="194"/>
      <c r="AA159"/>
      <c r="AB159" s="34">
        <f>+C159+G159+L159+Q159+V159</f>
        <v>0</v>
      </c>
      <c r="AC159" s="182">
        <f>D159+I159+N159+S159+X159</f>
        <v>87200.125103826984</v>
      </c>
      <c r="AD159" s="37">
        <f>+D159+I159+N159+S159+Y159</f>
        <v>91493.125103826984</v>
      </c>
      <c r="AE159" s="154"/>
      <c r="AF159" s="154"/>
    </row>
    <row r="160" spans="1:32" s="84" customFormat="1" ht="18.75" x14ac:dyDescent="0.3">
      <c r="A160" s="30"/>
      <c r="B160" s="178" t="s">
        <v>36</v>
      </c>
      <c r="C160" s="108">
        <f>+C159</f>
        <v>0</v>
      </c>
      <c r="D160" s="111">
        <f>+D159</f>
        <v>0</v>
      </c>
      <c r="E160" s="50">
        <f>+C160-D160</f>
        <v>0</v>
      </c>
      <c r="F160"/>
      <c r="G160" s="108">
        <f>+G159</f>
        <v>0</v>
      </c>
      <c r="H160" s="109">
        <f>+H159</f>
        <v>0</v>
      </c>
      <c r="I160" s="111">
        <f>+I159</f>
        <v>0</v>
      </c>
      <c r="J160" s="50">
        <f>+G160-I160</f>
        <v>0</v>
      </c>
      <c r="K160"/>
      <c r="L160" s="108">
        <f>+L159</f>
        <v>0</v>
      </c>
      <c r="M160" s="109">
        <f>+M159</f>
        <v>25000</v>
      </c>
      <c r="N160" s="49">
        <f>SUM(N159)</f>
        <v>21952.125103826984</v>
      </c>
      <c r="O160" s="50"/>
      <c r="P160"/>
      <c r="Q160" s="108">
        <f>+Q159</f>
        <v>0</v>
      </c>
      <c r="R160" s="109">
        <f>+R159</f>
        <v>21000</v>
      </c>
      <c r="S160" s="49">
        <f>SUM(S159)</f>
        <v>40248</v>
      </c>
      <c r="T160" s="50"/>
      <c r="U160"/>
      <c r="V160" s="108">
        <f>+V159</f>
        <v>0</v>
      </c>
      <c r="W160" s="47">
        <f>+W159</f>
        <v>25000</v>
      </c>
      <c r="X160" s="183">
        <f>+X159</f>
        <v>25000</v>
      </c>
      <c r="Y160" s="49">
        <v>29293</v>
      </c>
      <c r="Z160" s="185">
        <f>V160-W160</f>
        <v>-25000</v>
      </c>
      <c r="AA160"/>
      <c r="AB160" s="34">
        <f>+C160+G160+L160</f>
        <v>0</v>
      </c>
      <c r="AC160" s="195">
        <f>SUM(AC159)</f>
        <v>87200.125103826984</v>
      </c>
      <c r="AD160" s="49">
        <f>SUM(AD159)</f>
        <v>91493.125103826984</v>
      </c>
      <c r="AE160" s="50"/>
      <c r="AF160" s="50"/>
    </row>
    <row r="161" spans="1:33" s="84" customFormat="1" ht="18.75" customHeight="1" x14ac:dyDescent="0.25">
      <c r="A161" s="136"/>
      <c r="B161" s="136"/>
      <c r="C161" s="138"/>
      <c r="D161" s="141"/>
      <c r="E161" s="136"/>
      <c r="F161"/>
      <c r="G161" s="138"/>
      <c r="H161" s="139"/>
      <c r="I161" s="141"/>
      <c r="J161" s="136"/>
      <c r="K161"/>
      <c r="L161" s="138"/>
      <c r="M161" s="139"/>
      <c r="N161" s="141"/>
      <c r="O161" s="136"/>
      <c r="P161"/>
      <c r="Q161" s="138"/>
      <c r="R161" s="139"/>
      <c r="S161" s="141"/>
      <c r="T161" s="136"/>
      <c r="U161"/>
      <c r="V161" s="138"/>
      <c r="W161" s="139"/>
      <c r="X161" s="200"/>
      <c r="Y161" s="141"/>
      <c r="Z161" s="201"/>
      <c r="AA161"/>
      <c r="AB161" s="138"/>
      <c r="AC161" s="200"/>
      <c r="AD161" s="141"/>
      <c r="AE161" s="136"/>
      <c r="AF161" s="136"/>
    </row>
    <row r="162" spans="1:33" s="23" customFormat="1" ht="18.75" x14ac:dyDescent="0.3">
      <c r="A162" s="160" t="s">
        <v>90</v>
      </c>
      <c r="B162" s="178"/>
      <c r="C162" s="108">
        <f>C149+C156+C160</f>
        <v>315000</v>
      </c>
      <c r="D162" s="111">
        <f>D149+D156+D160</f>
        <v>206215.4</v>
      </c>
      <c r="E162" s="113">
        <f>E149+E156+E160</f>
        <v>108784.6</v>
      </c>
      <c r="F162"/>
      <c r="G162" s="108">
        <f>G149+G156+G160</f>
        <v>315000</v>
      </c>
      <c r="H162" s="109">
        <f>H149+H156+H160</f>
        <v>368600</v>
      </c>
      <c r="I162" s="111">
        <f>I149+I156+I160</f>
        <v>300904.80999999994</v>
      </c>
      <c r="J162" s="113">
        <f>J149+J156+J160</f>
        <v>14095.190000000061</v>
      </c>
      <c r="K162"/>
      <c r="L162" s="108">
        <f>L149+L156+L160</f>
        <v>315000</v>
      </c>
      <c r="M162" s="109">
        <f>M149+M156+M160</f>
        <v>455000</v>
      </c>
      <c r="N162" s="111">
        <f>N149+N156+N160</f>
        <v>401037.75510382699</v>
      </c>
      <c r="O162" s="50">
        <f>+M162-N162</f>
        <v>53962.244896173012</v>
      </c>
      <c r="P162"/>
      <c r="Q162" s="108">
        <f>Q149+Q156+Q160</f>
        <v>495000</v>
      </c>
      <c r="R162" s="109">
        <f>R149+R156+R160</f>
        <v>512000</v>
      </c>
      <c r="S162" s="111">
        <f>S149+S156+S160</f>
        <v>401640.45</v>
      </c>
      <c r="T162" s="50">
        <f>+R162-S162</f>
        <v>110359.54999999999</v>
      </c>
      <c r="U162"/>
      <c r="V162" s="108">
        <f>V149+V156+V160</f>
        <v>315000</v>
      </c>
      <c r="W162" s="109">
        <f>W149+W156+W160</f>
        <v>497000</v>
      </c>
      <c r="X162" s="195">
        <f>X149+X156+X160</f>
        <v>497000</v>
      </c>
      <c r="Y162" s="49">
        <v>508183.4</v>
      </c>
      <c r="Z162" s="185">
        <f>V162-W162</f>
        <v>-182000</v>
      </c>
      <c r="AA162"/>
      <c r="AB162" s="108">
        <f>AB149+AB156+AB160</f>
        <v>1755000</v>
      </c>
      <c r="AC162" s="195">
        <f>AC149+AC156+AC160</f>
        <v>1806798.4151038271</v>
      </c>
      <c r="AD162" s="111">
        <f>AD149+AD156+AD160</f>
        <v>1817981.815103827</v>
      </c>
      <c r="AE162" s="50">
        <f>+AC162-AD162</f>
        <v>-11183.399999999907</v>
      </c>
      <c r="AF162" s="186">
        <f>AE162/AB162</f>
        <v>-6.372307692307639E-3</v>
      </c>
    </row>
    <row r="163" spans="1:33" s="23" customFormat="1" ht="18.75" x14ac:dyDescent="0.3">
      <c r="A163" s="160"/>
      <c r="B163" s="178"/>
      <c r="C163" s="108"/>
      <c r="D163" s="111"/>
      <c r="E163" s="113"/>
      <c r="F163"/>
      <c r="G163" s="108"/>
      <c r="H163" s="109"/>
      <c r="I163" s="111"/>
      <c r="J163" s="113"/>
      <c r="K163"/>
      <c r="L163" s="108"/>
      <c r="M163" s="109"/>
      <c r="N163" s="111"/>
      <c r="O163" s="113"/>
      <c r="P163"/>
      <c r="Q163" s="108"/>
      <c r="R163" s="109"/>
      <c r="S163" s="111"/>
      <c r="T163" s="113"/>
      <c r="U163"/>
      <c r="V163" s="108"/>
      <c r="W163" s="109"/>
      <c r="X163" s="195"/>
      <c r="Y163" s="111"/>
      <c r="Z163" s="185"/>
      <c r="AA163"/>
      <c r="AB163" s="108"/>
      <c r="AC163" s="195"/>
      <c r="AD163" s="111"/>
      <c r="AE163" s="113"/>
      <c r="AF163" s="113"/>
    </row>
    <row r="164" spans="1:33" s="84" customFormat="1" ht="20.25" x14ac:dyDescent="0.3">
      <c r="A164" s="16" t="s">
        <v>91</v>
      </c>
      <c r="B164" s="16" t="s">
        <v>92</v>
      </c>
      <c r="C164" s="16"/>
      <c r="D164" s="16"/>
      <c r="E164" s="16"/>
      <c r="F164"/>
      <c r="G164" s="16"/>
      <c r="H164" s="16"/>
      <c r="I164" s="16"/>
      <c r="J164" s="16"/>
      <c r="K164"/>
      <c r="L164" s="16"/>
      <c r="M164" s="16"/>
      <c r="N164" s="16"/>
      <c r="O164" s="16"/>
      <c r="P164"/>
      <c r="Q164" s="16"/>
      <c r="R164" s="16"/>
      <c r="S164" s="16"/>
      <c r="T164" s="16"/>
      <c r="U164"/>
      <c r="V164" s="16"/>
      <c r="W164" s="16"/>
      <c r="X164" s="16"/>
      <c r="Y164" s="16"/>
      <c r="Z164" s="16"/>
      <c r="AA164"/>
      <c r="AB164" s="16"/>
      <c r="AC164" s="16"/>
      <c r="AD164" s="16"/>
      <c r="AE164" s="16"/>
      <c r="AF164" s="16"/>
    </row>
    <row r="165" spans="1:33" ht="18.75" x14ac:dyDescent="0.3">
      <c r="A165" s="30"/>
      <c r="B165" s="129" t="s">
        <v>108</v>
      </c>
      <c r="C165" s="130">
        <v>340000</v>
      </c>
      <c r="D165" s="133">
        <v>222186.72</v>
      </c>
      <c r="E165" s="131"/>
      <c r="G165" s="130">
        <v>340000</v>
      </c>
      <c r="H165" s="132">
        <v>360000</v>
      </c>
      <c r="I165" s="133">
        <v>311501.422914</v>
      </c>
      <c r="J165" s="131"/>
      <c r="L165" s="130">
        <v>340000</v>
      </c>
      <c r="M165" s="132">
        <v>387740.3328661985</v>
      </c>
      <c r="N165" s="37">
        <v>323535.86586426903</v>
      </c>
      <c r="O165" s="131"/>
      <c r="Q165" s="130">
        <v>340000</v>
      </c>
      <c r="R165" s="35">
        <v>474409.15529133333</v>
      </c>
      <c r="S165" s="37">
        <v>373954.11285600002</v>
      </c>
      <c r="T165" s="131"/>
      <c r="V165" s="130">
        <v>340000</v>
      </c>
      <c r="W165" s="35">
        <v>421880.59190925688</v>
      </c>
      <c r="X165" s="182">
        <f>AC165-D165-I165-N165-S165</f>
        <v>435919.16379383596</v>
      </c>
      <c r="Y165" s="37">
        <v>348298.98109200003</v>
      </c>
      <c r="Z165" s="194"/>
      <c r="AB165" s="34">
        <f>+C165+G165+L165+Q165+V165</f>
        <v>1700000</v>
      </c>
      <c r="AC165" s="182">
        <f>AC175</f>
        <v>1667097.2854281049</v>
      </c>
      <c r="AD165" s="37">
        <f>+D165+I165+N165+S165+Y165</f>
        <v>1579477.102726269</v>
      </c>
      <c r="AE165" s="131"/>
      <c r="AF165" s="131"/>
    </row>
    <row r="166" spans="1:33" ht="18.75" x14ac:dyDescent="0.3">
      <c r="A166" s="30"/>
      <c r="B166" s="153" t="s">
        <v>95</v>
      </c>
      <c r="C166" s="130"/>
      <c r="D166" s="133"/>
      <c r="E166" s="131"/>
      <c r="G166" s="130"/>
      <c r="H166" s="132"/>
      <c r="I166" s="133"/>
      <c r="J166" s="131"/>
      <c r="L166" s="130"/>
      <c r="M166" s="132"/>
      <c r="N166" s="37"/>
      <c r="O166" s="131"/>
      <c r="Q166" s="130"/>
      <c r="R166" s="35"/>
      <c r="S166" s="37"/>
      <c r="T166" s="131"/>
      <c r="V166" s="130"/>
      <c r="W166" s="35"/>
      <c r="X166" s="182">
        <v>325523.49445157684</v>
      </c>
      <c r="Y166" s="37">
        <v>57528.5</v>
      </c>
      <c r="Z166" s="194"/>
      <c r="AB166" s="34"/>
      <c r="AC166" s="182">
        <f>D166+I166+N166+S166+X166</f>
        <v>325523.49445157684</v>
      </c>
      <c r="AD166" s="37">
        <f>+D166+I166+N166+S166+Y166</f>
        <v>57528.5</v>
      </c>
      <c r="AE166" s="131"/>
      <c r="AF166" s="131"/>
    </row>
    <row r="167" spans="1:33" ht="18.75" x14ac:dyDescent="0.3">
      <c r="A167" s="30"/>
      <c r="B167" s="129" t="s">
        <v>96</v>
      </c>
      <c r="C167" s="130">
        <v>20000</v>
      </c>
      <c r="D167" s="133">
        <v>10000</v>
      </c>
      <c r="E167" s="131"/>
      <c r="G167" s="130">
        <v>20000</v>
      </c>
      <c r="H167" s="132">
        <v>20000</v>
      </c>
      <c r="I167" s="133"/>
      <c r="J167" s="131"/>
      <c r="L167" s="130">
        <v>20000</v>
      </c>
      <c r="M167" s="132">
        <v>20000</v>
      </c>
      <c r="N167" s="37">
        <v>20045</v>
      </c>
      <c r="O167" s="131"/>
      <c r="Q167" s="130">
        <v>20000</v>
      </c>
      <c r="R167" s="35">
        <v>20000</v>
      </c>
      <c r="S167" s="37">
        <v>20262.55</v>
      </c>
      <c r="T167" s="131"/>
      <c r="V167" s="130">
        <v>20000</v>
      </c>
      <c r="W167" s="35">
        <v>20000</v>
      </c>
      <c r="X167" s="182">
        <v>20000</v>
      </c>
      <c r="Y167" s="37">
        <v>20000</v>
      </c>
      <c r="Z167" s="194"/>
      <c r="AB167" s="34">
        <f>+C167+G167+L167+Q167+V167</f>
        <v>100000</v>
      </c>
      <c r="AC167" s="182">
        <f>D167+I167+N167+S167+X167</f>
        <v>70307.55</v>
      </c>
      <c r="AD167" s="37">
        <f>+D167+I167+N167+S167+Y167</f>
        <v>70307.55</v>
      </c>
      <c r="AE167" s="131"/>
      <c r="AF167" s="131"/>
    </row>
    <row r="168" spans="1:33" ht="18.75" x14ac:dyDescent="0.3">
      <c r="A168" s="30"/>
      <c r="B168" s="129"/>
      <c r="C168" s="108">
        <f>SUM(C165:C167)</f>
        <v>360000</v>
      </c>
      <c r="D168" s="111">
        <f>SUM(D165:D167)</f>
        <v>232186.72</v>
      </c>
      <c r="E168" s="50">
        <f>+C168-D168</f>
        <v>127813.28</v>
      </c>
      <c r="G168" s="108">
        <f>SUM(G165:G167)</f>
        <v>360000</v>
      </c>
      <c r="H168" s="109">
        <f>SUM(H165:H167)</f>
        <v>380000</v>
      </c>
      <c r="I168" s="111">
        <f>SUM(I165:I167)</f>
        <v>311501.422914</v>
      </c>
      <c r="J168" s="50">
        <f>+G168-I168</f>
        <v>48498.577086000005</v>
      </c>
      <c r="L168" s="108">
        <f>SUM(L165:L167)</f>
        <v>360000</v>
      </c>
      <c r="M168" s="109">
        <f>SUM(M165:M167)</f>
        <v>407740.3328661985</v>
      </c>
      <c r="N168" s="111">
        <f>SUM(N165:N167)</f>
        <v>343580.86586426903</v>
      </c>
      <c r="O168" s="50">
        <f>+M168-N168</f>
        <v>64159.467001929472</v>
      </c>
      <c r="Q168" s="108">
        <f>SUM(Q165:Q167)</f>
        <v>360000</v>
      </c>
      <c r="R168" s="109">
        <f>SUM(R165:R167)</f>
        <v>494409.15529133333</v>
      </c>
      <c r="S168" s="111">
        <f>SUM(S165:S167)</f>
        <v>394216.66285600001</v>
      </c>
      <c r="T168" s="50">
        <f>+R168-S168</f>
        <v>100192.49243533332</v>
      </c>
      <c r="V168" s="108">
        <f>SUM(V165:V167)</f>
        <v>360000</v>
      </c>
      <c r="W168" s="109">
        <f>SUM(W165:W167)</f>
        <v>441880.59190925688</v>
      </c>
      <c r="X168" s="195">
        <f>SUM(X165:X167)</f>
        <v>781442.65824541287</v>
      </c>
      <c r="Y168" s="49">
        <v>425827.48109200003</v>
      </c>
      <c r="Z168" s="185">
        <f>V168-W168</f>
        <v>-81880.59190925688</v>
      </c>
      <c r="AB168" s="108">
        <f>SUM(AB165:AB167)</f>
        <v>1800000</v>
      </c>
      <c r="AC168" s="195">
        <f>SUM(AC165:AC167)</f>
        <v>2062928.3298796818</v>
      </c>
      <c r="AD168" s="111">
        <f>SUM(AD165:AD167)</f>
        <v>1707313.1527262691</v>
      </c>
      <c r="AE168" s="50">
        <f>+AC168-AD168</f>
        <v>355615.17715341272</v>
      </c>
      <c r="AF168" s="186">
        <f>AE168/AB168</f>
        <v>0.19756398730745151</v>
      </c>
    </row>
    <row r="169" spans="1:33" x14ac:dyDescent="0.25">
      <c r="A169" s="136"/>
      <c r="B169" s="136"/>
      <c r="C169" s="138"/>
      <c r="D169" s="141"/>
      <c r="E169" s="136"/>
      <c r="G169" s="138"/>
      <c r="H169" s="139"/>
      <c r="I169" s="141"/>
      <c r="J169" s="136"/>
      <c r="L169" s="138"/>
      <c r="M169" s="139"/>
      <c r="N169" s="141"/>
      <c r="O169" s="136"/>
      <c r="Q169" s="138"/>
      <c r="R169" s="139"/>
      <c r="S169" s="141"/>
      <c r="T169" s="136"/>
      <c r="V169" s="138"/>
      <c r="W169" s="139"/>
      <c r="X169" s="200"/>
      <c r="Y169" s="141"/>
      <c r="Z169" s="201"/>
      <c r="AB169" s="138"/>
      <c r="AC169" s="200"/>
      <c r="AD169" s="141"/>
      <c r="AE169" s="136"/>
      <c r="AF169" s="136"/>
    </row>
    <row r="170" spans="1:33" s="102" customFormat="1" ht="18.75" x14ac:dyDescent="0.3">
      <c r="A170" s="242" t="s">
        <v>97</v>
      </c>
      <c r="B170" s="242"/>
      <c r="C170" s="108">
        <f>C132+C143+C162+C168</f>
        <v>2843468.9241510015</v>
      </c>
      <c r="D170" s="111">
        <f>D132+D143+D162+D168</f>
        <v>2073743.06</v>
      </c>
      <c r="E170" s="50">
        <f>+C170-D170</f>
        <v>769725.86415100144</v>
      </c>
      <c r="F170"/>
      <c r="G170" s="108">
        <f>G132+G143+G162+G168</f>
        <v>2919428.7543010432</v>
      </c>
      <c r="H170" s="109">
        <f>H132+H143+H162+H168</f>
        <v>3264282.5415807525</v>
      </c>
      <c r="I170" s="111">
        <f>I132+I143+I162+I168</f>
        <v>2635910.0529140001</v>
      </c>
      <c r="J170" s="50">
        <f>+G170-I170</f>
        <v>283518.70138704311</v>
      </c>
      <c r="K170"/>
      <c r="L170" s="108">
        <f>L132+L143+L162+L168</f>
        <v>2990188.0965737705</v>
      </c>
      <c r="M170" s="109">
        <f>M132+M143+M162+M168</f>
        <v>3421702.2488771412</v>
      </c>
      <c r="N170" s="111">
        <f>N132+N143+N162+N168</f>
        <v>2855115.4109680955</v>
      </c>
      <c r="O170" s="50">
        <f>+L170-N170</f>
        <v>135072.68560567498</v>
      </c>
      <c r="P170"/>
      <c r="Q170" s="108">
        <f>Q132+Q143+Q162+Q168</f>
        <v>3224185.3834717702</v>
      </c>
      <c r="R170" s="109">
        <f>R132+R143+R162+R168</f>
        <v>4183628.5086246668</v>
      </c>
      <c r="S170" s="111">
        <f>S132+S143+S162+S168</f>
        <v>3300042.6328560002</v>
      </c>
      <c r="T170" s="50">
        <f>+Q170-S170</f>
        <v>-75857.249384230003</v>
      </c>
      <c r="U170"/>
      <c r="V170" s="108">
        <f>V132+V143+V162+V168</f>
        <v>3023958.8865737705</v>
      </c>
      <c r="W170" s="109">
        <f>W132+W143+W162+W168</f>
        <v>3738002.9086078214</v>
      </c>
      <c r="X170" s="195">
        <f>X132+X143+X162+X168</f>
        <v>4162190.2754332609</v>
      </c>
      <c r="Y170" s="49">
        <v>3073643.121092</v>
      </c>
      <c r="Z170" s="185">
        <f>V170-W170</f>
        <v>-714044.0220340509</v>
      </c>
      <c r="AA170"/>
      <c r="AB170" s="108">
        <f>AB132+AB143+AB162+AB168</f>
        <v>15001230.045071356</v>
      </c>
      <c r="AC170" s="195">
        <f>AC132+AC143+AC162+AC168</f>
        <v>15027001.432171356</v>
      </c>
      <c r="AD170" s="111">
        <f>AD132+AD143+AD162+AD168</f>
        <v>13938454.277830094</v>
      </c>
      <c r="AE170" s="50">
        <f>+AC170-AD170</f>
        <v>1088547.1543412618</v>
      </c>
      <c r="AF170" s="186">
        <f>AE170/AB170</f>
        <v>7.256385983487422E-2</v>
      </c>
    </row>
    <row r="171" spans="1:33" s="87" customFormat="1" ht="18.75" x14ac:dyDescent="0.3">
      <c r="A171" s="205"/>
      <c r="B171" s="205"/>
      <c r="C171" s="205">
        <f>+C132+C162+C167+C143</f>
        <v>2503468.9241510015</v>
      </c>
      <c r="D171" s="205">
        <f>+D132+D162+D167+D143</f>
        <v>1851556.34</v>
      </c>
      <c r="E171" s="205"/>
      <c r="F171" s="205">
        <f>+F132+F162+F167+F143</f>
        <v>0</v>
      </c>
      <c r="G171" s="205">
        <f>+G132+G162+G167+G143</f>
        <v>2579428.7543010432</v>
      </c>
      <c r="H171" s="205">
        <f>+H132+H162+H167+H143</f>
        <v>2904282.5415807525</v>
      </c>
      <c r="I171" s="205">
        <f>+I132+I162+I167+I143</f>
        <v>2324408.63</v>
      </c>
      <c r="J171" s="205"/>
      <c r="K171" s="205">
        <f>+K132+K162+K167+K143</f>
        <v>0</v>
      </c>
      <c r="L171" s="205">
        <f>+L132+L162+L167+L143</f>
        <v>2650188.0965737705</v>
      </c>
      <c r="M171" s="205">
        <f>+M132+M162+M167+M143</f>
        <v>3033961.9160109428</v>
      </c>
      <c r="N171" s="205">
        <f>+N132+N162+N167+N143</f>
        <v>2531579.5451038266</v>
      </c>
      <c r="O171" s="205"/>
      <c r="P171" s="205">
        <f>+P132+P162+P167+P143</f>
        <v>0</v>
      </c>
      <c r="Q171" s="205">
        <f>+Q132+Q162+Q167+Q143</f>
        <v>2884185.3834717702</v>
      </c>
      <c r="R171" s="205">
        <f>+R132+R162+R167+R143</f>
        <v>3709219.3533333335</v>
      </c>
      <c r="S171" s="205">
        <f>+S132+S162+S167+S143</f>
        <v>2926088.52</v>
      </c>
      <c r="T171" s="205"/>
      <c r="U171"/>
      <c r="V171" s="205">
        <f>+V132+V162+V167+V143</f>
        <v>2683958.8865737705</v>
      </c>
      <c r="W171" s="205">
        <f>+W132+W162+W167+W143</f>
        <v>3316122.3166985647</v>
      </c>
      <c r="X171" s="205">
        <f>+X132+X162+X167+X143+X166</f>
        <v>3726271.1116394247</v>
      </c>
      <c r="Y171" s="205"/>
      <c r="Z171" s="205"/>
      <c r="AA171"/>
      <c r="AB171" s="205">
        <f>+AB132+AB162+AB167+AB143</f>
        <v>13301230.045071356</v>
      </c>
      <c r="AC171" s="205">
        <f>+AC132+AC162+AC167+AC143</f>
        <v>13034380.652291674</v>
      </c>
      <c r="AD171" s="205">
        <f>+AD132+AD162+AD167+AD143</f>
        <v>12301448.675103826</v>
      </c>
      <c r="AE171" s="163"/>
      <c r="AF171" s="163"/>
    </row>
    <row r="172" spans="1:33" x14ac:dyDescent="0.25">
      <c r="E172" s="93"/>
      <c r="H172" s="93"/>
      <c r="J172" s="93"/>
      <c r="M172" s="93"/>
      <c r="O172" s="93"/>
      <c r="R172" s="93"/>
      <c r="S172" s="93"/>
      <c r="T172" s="93"/>
      <c r="AB172" s="168"/>
      <c r="AC172" s="206"/>
      <c r="AE172" s="93"/>
      <c r="AF172" s="93"/>
    </row>
    <row r="173" spans="1:33" s="11" customFormat="1" x14ac:dyDescent="0.25">
      <c r="A173" s="6"/>
      <c r="F173"/>
      <c r="K173"/>
      <c r="P173"/>
      <c r="U173"/>
      <c r="W173" s="10"/>
      <c r="X173" s="10"/>
      <c r="Y173" s="10"/>
      <c r="AA173"/>
      <c r="AB173" s="169"/>
      <c r="AD173" s="8"/>
    </row>
    <row r="174" spans="1:33" s="11" customFormat="1" x14ac:dyDescent="0.25">
      <c r="A174" s="6"/>
      <c r="F174"/>
      <c r="K174"/>
      <c r="P174"/>
      <c r="U174"/>
      <c r="W174" s="10"/>
      <c r="X174" s="10"/>
      <c r="Y174" s="10"/>
      <c r="AA174"/>
      <c r="AG174" s="93"/>
    </row>
    <row r="175" spans="1:33" s="11" customFormat="1" ht="18.75" x14ac:dyDescent="0.3">
      <c r="A175" s="6"/>
      <c r="C175" s="170"/>
      <c r="E175" s="170"/>
      <c r="F175"/>
      <c r="G175" s="170"/>
      <c r="H175" s="171"/>
      <c r="J175" s="171"/>
      <c r="K175"/>
      <c r="L175" s="170"/>
      <c r="M175" s="171"/>
      <c r="O175" s="171"/>
      <c r="P175"/>
      <c r="Q175" s="170"/>
      <c r="R175" s="171"/>
      <c r="S175" s="170"/>
      <c r="T175" s="171"/>
      <c r="U175"/>
      <c r="V175" s="170"/>
      <c r="W175" s="10"/>
      <c r="X175" s="10"/>
      <c r="Y175" s="207"/>
      <c r="Z175" s="170"/>
      <c r="AA175"/>
      <c r="AB175" s="170"/>
      <c r="AC175" s="182">
        <f>+AC171*12.79%</f>
        <v>1667097.2854281049</v>
      </c>
      <c r="AD175" s="211">
        <v>14250000</v>
      </c>
      <c r="AE175" s="171"/>
      <c r="AF175" s="171"/>
    </row>
    <row r="176" spans="1:33" s="11" customFormat="1" x14ac:dyDescent="0.25">
      <c r="A176" s="6"/>
      <c r="D176" s="10"/>
      <c r="F176"/>
      <c r="I176" s="10"/>
      <c r="J176" s="10"/>
      <c r="K176"/>
      <c r="N176" s="10"/>
      <c r="P176"/>
      <c r="U176"/>
      <c r="W176" s="10"/>
      <c r="X176" s="10"/>
      <c r="Y176" s="10"/>
      <c r="AA176"/>
      <c r="AC176" s="10"/>
      <c r="AD176" s="212">
        <f>AD170-AD175</f>
        <v>-311545.7221699059</v>
      </c>
    </row>
    <row r="177" spans="1:32" s="11" customFormat="1" x14ac:dyDescent="0.25">
      <c r="A177" s="6"/>
      <c r="F177"/>
      <c r="K177"/>
      <c r="P177"/>
      <c r="U177"/>
      <c r="AA177"/>
      <c r="AC177" s="10"/>
      <c r="AD177" s="8"/>
    </row>
    <row r="178" spans="1:32" s="11" customFormat="1" x14ac:dyDescent="0.25">
      <c r="A178" s="6"/>
      <c r="D178" s="10"/>
      <c r="F178"/>
      <c r="I178" s="10"/>
      <c r="K178"/>
      <c r="N178" s="10"/>
      <c r="P178"/>
      <c r="S178" s="10"/>
      <c r="U178"/>
      <c r="Z178" s="10"/>
      <c r="AA178"/>
      <c r="AC178" s="10"/>
      <c r="AD178" s="8"/>
    </row>
    <row r="179" spans="1:32" s="11" customFormat="1" x14ac:dyDescent="0.25">
      <c r="A179" s="6"/>
      <c r="D179" s="208"/>
      <c r="E179" s="10"/>
      <c r="F179"/>
      <c r="G179" s="209"/>
      <c r="I179" s="208"/>
      <c r="J179" s="208"/>
      <c r="K179"/>
      <c r="P179"/>
      <c r="S179" s="10"/>
      <c r="U179"/>
      <c r="AA179"/>
    </row>
    <row r="180" spans="1:32" s="11" customFormat="1" x14ac:dyDescent="0.25">
      <c r="A180" s="6"/>
      <c r="D180" s="208"/>
      <c r="E180" s="10"/>
      <c r="F180"/>
      <c r="G180" s="209"/>
      <c r="H180" s="174"/>
      <c r="J180" s="174"/>
      <c r="K180"/>
      <c r="M180" s="174"/>
      <c r="O180" s="174"/>
      <c r="P180"/>
      <c r="R180" s="174"/>
      <c r="T180" s="174"/>
      <c r="U180"/>
      <c r="W180" s="174"/>
      <c r="X180" s="174"/>
      <c r="Y180" s="174"/>
      <c r="AA180"/>
      <c r="AC180" s="174"/>
      <c r="AE180" s="174"/>
      <c r="AF180" s="174"/>
    </row>
    <row r="181" spans="1:32" s="11" customFormat="1" x14ac:dyDescent="0.25">
      <c r="A181" s="6"/>
      <c r="C181" s="10"/>
      <c r="D181" s="208"/>
      <c r="E181" s="10"/>
      <c r="F181"/>
      <c r="G181" s="209"/>
      <c r="I181" s="10"/>
      <c r="K181"/>
      <c r="L181" s="10"/>
      <c r="N181" s="10"/>
      <c r="P181"/>
      <c r="Q181" s="10"/>
      <c r="S181" s="10"/>
      <c r="U181"/>
      <c r="V181" s="10"/>
      <c r="Z181" s="10"/>
      <c r="AA181"/>
      <c r="AB181" s="10"/>
      <c r="AD181" s="10"/>
    </row>
    <row r="182" spans="1:32" s="11" customFormat="1" x14ac:dyDescent="0.25">
      <c r="A182" s="6"/>
      <c r="C182" s="10"/>
      <c r="D182" s="10"/>
      <c r="E182" s="10"/>
      <c r="F182"/>
      <c r="G182" s="10"/>
      <c r="I182" s="10"/>
      <c r="K182"/>
      <c r="L182" s="10"/>
      <c r="N182" s="10"/>
      <c r="P182"/>
      <c r="Q182" s="10"/>
      <c r="S182" s="10"/>
      <c r="U182"/>
      <c r="V182" s="10"/>
      <c r="Z182" s="10"/>
      <c r="AA182"/>
      <c r="AB182" s="10"/>
      <c r="AD182" s="10"/>
    </row>
    <row r="183" spans="1:32" s="11" customFormat="1" x14ac:dyDescent="0.25">
      <c r="A183" s="6"/>
      <c r="C183" s="10"/>
      <c r="D183" s="10"/>
      <c r="E183" s="10"/>
      <c r="F183"/>
      <c r="G183" s="10"/>
      <c r="H183" s="174"/>
      <c r="I183" s="10"/>
      <c r="J183" s="174"/>
      <c r="K183"/>
      <c r="L183" s="10"/>
      <c r="M183" s="174"/>
      <c r="N183" s="10"/>
      <c r="O183" s="174"/>
      <c r="P183"/>
      <c r="Q183" s="10"/>
      <c r="R183" s="174"/>
      <c r="S183" s="10"/>
      <c r="T183" s="174"/>
      <c r="U183"/>
      <c r="V183" s="10"/>
      <c r="W183" s="174"/>
      <c r="X183" s="174"/>
      <c r="Y183" s="174"/>
      <c r="Z183" s="10"/>
      <c r="AA183"/>
      <c r="AB183" s="10"/>
      <c r="AC183" s="174"/>
      <c r="AD183" s="10"/>
      <c r="AE183" s="174"/>
      <c r="AF183" s="174"/>
    </row>
    <row r="184" spans="1:32" s="11" customFormat="1" x14ac:dyDescent="0.25">
      <c r="A184" s="6"/>
      <c r="C184" s="10"/>
      <c r="D184" s="10"/>
      <c r="E184" s="10"/>
      <c r="F184"/>
      <c r="G184" s="10"/>
      <c r="I184" s="10"/>
      <c r="K184"/>
      <c r="L184" s="10"/>
      <c r="N184" s="10"/>
      <c r="P184"/>
      <c r="Q184" s="10"/>
      <c r="S184" s="10"/>
      <c r="U184"/>
      <c r="V184" s="10"/>
      <c r="Z184" s="10"/>
      <c r="AA184"/>
      <c r="AB184" s="10"/>
      <c r="AD184" s="10"/>
    </row>
    <row r="185" spans="1:32" s="11" customFormat="1" x14ac:dyDescent="0.25">
      <c r="A185" s="6"/>
      <c r="C185" s="176"/>
      <c r="D185" s="176"/>
      <c r="E185" s="176"/>
      <c r="F185"/>
      <c r="G185" s="176"/>
      <c r="H185" s="175"/>
      <c r="I185" s="176"/>
      <c r="J185" s="175"/>
      <c r="K185"/>
      <c r="L185" s="176"/>
      <c r="M185" s="175"/>
      <c r="N185" s="176"/>
      <c r="O185" s="175"/>
      <c r="P185"/>
      <c r="Q185" s="176"/>
      <c r="R185" s="175"/>
      <c r="S185" s="176"/>
      <c r="T185" s="175"/>
      <c r="U185"/>
      <c r="V185" s="176"/>
      <c r="W185" s="175"/>
      <c r="X185" s="175"/>
      <c r="Y185" s="175"/>
      <c r="Z185" s="176"/>
      <c r="AA185"/>
      <c r="AB185" s="176"/>
      <c r="AC185" s="175"/>
      <c r="AD185" s="176"/>
      <c r="AE185" s="175"/>
      <c r="AF185" s="175"/>
    </row>
    <row r="186" spans="1:32" s="11" customFormat="1" x14ac:dyDescent="0.25">
      <c r="A186" s="6"/>
      <c r="C186" s="10"/>
      <c r="D186" s="10"/>
      <c r="E186" s="10"/>
      <c r="F186"/>
      <c r="G186" s="10"/>
      <c r="I186" s="10"/>
      <c r="K186"/>
      <c r="L186" s="10"/>
      <c r="N186" s="10"/>
      <c r="P186"/>
      <c r="Q186" s="10"/>
      <c r="S186" s="10"/>
      <c r="U186"/>
      <c r="V186" s="10"/>
      <c r="Z186" s="10"/>
      <c r="AA186"/>
      <c r="AB186" s="10"/>
      <c r="AD186" s="10"/>
    </row>
    <row r="187" spans="1:32" s="11" customFormat="1" x14ac:dyDescent="0.25">
      <c r="A187" s="6"/>
      <c r="C187" s="10"/>
      <c r="D187" s="10"/>
      <c r="E187" s="10"/>
      <c r="F187"/>
      <c r="G187" s="10"/>
      <c r="I187" s="10"/>
      <c r="K187"/>
      <c r="L187" s="10"/>
      <c r="N187" s="10"/>
      <c r="P187"/>
      <c r="Q187" s="10"/>
      <c r="S187" s="10"/>
      <c r="U187"/>
      <c r="V187" s="10"/>
      <c r="Z187" s="10"/>
      <c r="AA187"/>
      <c r="AB187" s="10"/>
      <c r="AD187" s="10"/>
    </row>
    <row r="188" spans="1:32" s="11" customFormat="1" x14ac:dyDescent="0.25">
      <c r="A188" s="6"/>
      <c r="F188"/>
      <c r="K188"/>
      <c r="P188"/>
      <c r="U188"/>
      <c r="AA188"/>
    </row>
    <row r="189" spans="1:32" s="11" customFormat="1" x14ac:dyDescent="0.25">
      <c r="A189" s="6"/>
      <c r="F189"/>
      <c r="K189"/>
      <c r="P189"/>
      <c r="U189"/>
      <c r="AA189"/>
    </row>
    <row r="192" spans="1:32" x14ac:dyDescent="0.25">
      <c r="C192" s="93"/>
      <c r="D192" s="93"/>
      <c r="E192" s="93"/>
      <c r="G192" s="93"/>
      <c r="I192" s="93"/>
      <c r="L192" s="93"/>
      <c r="N192" s="93"/>
      <c r="Q192" s="93"/>
      <c r="S192" s="93"/>
      <c r="V192" s="93"/>
      <c r="Z192" s="93"/>
      <c r="AB192" s="93"/>
      <c r="AD192" s="93"/>
    </row>
  </sheetData>
  <mergeCells count="14">
    <mergeCell ref="AB5:AF5"/>
    <mergeCell ref="A170:B170"/>
    <mergeCell ref="C5:E5"/>
    <mergeCell ref="G5:J5"/>
    <mergeCell ref="L5:O5"/>
    <mergeCell ref="Q5:T5"/>
    <mergeCell ref="V5:Z5"/>
    <mergeCell ref="AB4:AF4"/>
    <mergeCell ref="W1:Z1"/>
    <mergeCell ref="C4:E4"/>
    <mergeCell ref="G4:J4"/>
    <mergeCell ref="L4:O4"/>
    <mergeCell ref="Q4:T4"/>
    <mergeCell ref="V4:Z4"/>
  </mergeCells>
  <pageMargins left="0.70866141732283472" right="0.70866141732283472" top="0.74803149606299213" bottom="0.74803149606299213" header="0.31496062992125984" footer="0.31496062992125984"/>
  <pageSetup paperSize="8" scale="32" fitToHeight="0" orientation="landscape" r:id="rId1"/>
  <rowBreaks count="1" manualBreakCount="1">
    <brk id="12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Report DfS 2020</vt:lpstr>
      <vt:lpstr>Financial Report DfS 2016-2020</vt:lpstr>
      <vt:lpstr>'Financial Report DfS 2016-2020'!Print_Area</vt:lpstr>
      <vt:lpstr>'Financial Report DfS 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Harrie Dijkstra</cp:lastModifiedBy>
  <dcterms:created xsi:type="dcterms:W3CDTF">2021-06-29T15:20:38Z</dcterms:created>
  <dcterms:modified xsi:type="dcterms:W3CDTF">2021-10-18T06:58:33Z</dcterms:modified>
</cp:coreProperties>
</file>