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a.brasset\Desktop\Annual plan 2023\Overall\Final draft\"/>
    </mc:Choice>
  </mc:AlternateContent>
  <xr:revisionPtr revIDLastSave="0" documentId="13_ncr:1_{B78243A5-87E9-462B-BBC5-69B44FFB260C}" xr6:coauthVersionLast="47" xr6:coauthVersionMax="47" xr10:uidLastSave="{00000000-0000-0000-0000-000000000000}"/>
  <bookViews>
    <workbookView xWindow="-110" yWindow="-110" windowWidth="19420" windowHeight="10420" firstSheet="1" activeTab="1" xr2:uid="{00000000-000D-0000-FFFF-FFFF00000000}"/>
  </bookViews>
  <sheets>
    <sheet name="Risk empty format" sheetId="3" state="hidden" r:id="rId1"/>
    <sheet name="Overall" sheetId="16" r:id="rId2"/>
    <sheet name="Mali" sheetId="41" r:id="rId3"/>
    <sheet name="Burkina Faso" sheetId="43" r:id="rId4"/>
    <sheet name="Niger" sheetId="45" r:id="rId5"/>
    <sheet name="Senegal" sheetId="39" r:id="rId6"/>
    <sheet name="Tunisia" sheetId="28" r:id="rId7"/>
    <sheet name="Jordan" sheetId="42" r:id="rId8"/>
    <sheet name="Iraq" sheetId="44" r:id="rId9"/>
    <sheet name="Uganda" sheetId="46" r:id="rId10"/>
    <sheet name="Ethiopia" sheetId="47" r:id="rId11"/>
    <sheet name="Kenya" sheetId="48" r:id="rId12"/>
    <sheet name="Mozambique" sheetId="49" r:id="rId13"/>
    <sheet name="Guatemala" sheetId="51" r:id="rId14"/>
    <sheet name="Colombia" sheetId="52" r:id="rId15"/>
    <sheet name="Myanmar" sheetId="50" r:id="rId16"/>
    <sheet name="Ratings" sheetId="1" state="hidden"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xlnm._FilterDatabase" localSheetId="16" hidden="1">Ratings!$B$18:$B$22</definedName>
    <definedName name="Probability" localSheetId="14">[15]Ratings!$B$5:$B$9</definedName>
    <definedName name="Probability">[1]Ratings!$B$5:$B$9</definedName>
    <definedName name="Severity" localSheetId="14">[15]Ratings!$B$12:$B$16</definedName>
    <definedName name="Severity">[1]Ratings!$B$12:$B$16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 i="52" l="1"/>
  <c r="L4" i="52"/>
  <c r="L5" i="52"/>
  <c r="B6" i="52"/>
  <c r="L6" i="52"/>
  <c r="L7" i="52"/>
  <c r="B8" i="52"/>
  <c r="L8" i="52"/>
  <c r="L9" i="52"/>
  <c r="B10" i="52"/>
  <c r="L10" i="52"/>
  <c r="B11" i="52"/>
  <c r="L12" i="52"/>
  <c r="B13" i="52"/>
  <c r="L13" i="52"/>
  <c r="B14" i="52"/>
  <c r="L14" i="52"/>
  <c r="B15" i="52"/>
  <c r="L15" i="52"/>
  <c r="L16" i="52"/>
  <c r="B17" i="52"/>
  <c r="L17" i="52"/>
  <c r="L18" i="52"/>
  <c r="L19" i="52"/>
  <c r="B20" i="52"/>
  <c r="L20" i="52"/>
  <c r="B21" i="52"/>
  <c r="L21" i="52"/>
  <c r="L22" i="52"/>
  <c r="B23" i="52"/>
  <c r="L23" i="52"/>
  <c r="B4" i="51"/>
  <c r="K4" i="51"/>
  <c r="B5" i="51"/>
  <c r="K5" i="51"/>
  <c r="B6" i="51"/>
  <c r="B7" i="51"/>
  <c r="K7" i="51"/>
  <c r="B8" i="51"/>
  <c r="K8" i="51"/>
  <c r="B9" i="51"/>
  <c r="B10" i="51"/>
  <c r="K10" i="51"/>
  <c r="K11" i="51"/>
  <c r="B12" i="51"/>
  <c r="K12" i="51"/>
  <c r="B13" i="51"/>
  <c r="K13" i="51"/>
  <c r="B14" i="51"/>
  <c r="K14" i="51"/>
  <c r="B15" i="51"/>
  <c r="K15" i="51"/>
  <c r="B16" i="51"/>
  <c r="K16" i="51"/>
  <c r="B17" i="51"/>
  <c r="K17" i="51"/>
  <c r="K18" i="51"/>
  <c r="B19" i="51"/>
  <c r="K19" i="51"/>
  <c r="B20" i="51"/>
  <c r="K20" i="51"/>
  <c r="B21" i="51"/>
  <c r="K21" i="51"/>
  <c r="B22" i="51"/>
  <c r="K22" i="51"/>
  <c r="K23" i="51"/>
  <c r="B24" i="51"/>
  <c r="K24" i="51"/>
  <c r="B25" i="51"/>
  <c r="K25" i="51"/>
  <c r="B26" i="51"/>
  <c r="K26" i="51"/>
  <c r="B27" i="51"/>
  <c r="K27" i="51"/>
  <c r="B4" i="50" l="1"/>
  <c r="K4" i="50"/>
  <c r="B5" i="50"/>
  <c r="K5" i="50"/>
  <c r="B6" i="50"/>
  <c r="K6" i="50"/>
  <c r="B7" i="50"/>
  <c r="K7" i="50"/>
  <c r="B8" i="50"/>
  <c r="K8" i="50"/>
  <c r="K9" i="50"/>
  <c r="B10" i="50"/>
  <c r="K10" i="50"/>
  <c r="B11" i="50"/>
  <c r="K11" i="50"/>
  <c r="B12" i="50"/>
  <c r="K13" i="50"/>
  <c r="B14" i="50"/>
  <c r="K14" i="50"/>
  <c r="B15" i="50"/>
  <c r="K15" i="50"/>
  <c r="B16" i="50"/>
  <c r="K16" i="50"/>
  <c r="B17" i="50"/>
  <c r="K17" i="50"/>
  <c r="K18" i="50"/>
  <c r="B19" i="50"/>
  <c r="K19" i="50"/>
  <c r="B20" i="50"/>
  <c r="K20" i="50"/>
  <c r="B21" i="50"/>
  <c r="K21" i="50"/>
  <c r="B22" i="50"/>
  <c r="K22" i="50"/>
  <c r="B4" i="48" l="1"/>
  <c r="K4" i="48"/>
  <c r="B5" i="48"/>
  <c r="K5" i="48"/>
  <c r="B6" i="48"/>
  <c r="K6" i="48"/>
  <c r="K7" i="48"/>
  <c r="B8" i="48"/>
  <c r="K8" i="48"/>
  <c r="B9" i="48"/>
  <c r="K9" i="48"/>
  <c r="B11" i="48"/>
  <c r="K11" i="48"/>
  <c r="K12" i="48"/>
  <c r="B13" i="48"/>
  <c r="K13" i="48"/>
  <c r="B14" i="48"/>
  <c r="K14" i="48"/>
  <c r="K15" i="48"/>
  <c r="B16" i="48"/>
  <c r="K16" i="48"/>
  <c r="K18" i="48"/>
  <c r="B4" i="47" l="1"/>
  <c r="K4" i="47"/>
  <c r="B5" i="47"/>
  <c r="K5" i="47"/>
  <c r="B6" i="47"/>
  <c r="K6" i="47"/>
  <c r="B7" i="47"/>
  <c r="K7" i="47"/>
  <c r="K8" i="47"/>
  <c r="B9" i="47"/>
  <c r="K9" i="47"/>
  <c r="K10" i="47"/>
  <c r="B11" i="47"/>
  <c r="K11" i="47"/>
  <c r="K12" i="47"/>
  <c r="B13" i="47"/>
  <c r="K13" i="47"/>
  <c r="B14" i="47"/>
  <c r="K14" i="47"/>
  <c r="B4" i="46"/>
  <c r="K4" i="46"/>
  <c r="B5" i="46"/>
  <c r="K5" i="46"/>
  <c r="B6" i="46"/>
  <c r="K6" i="46"/>
  <c r="K7" i="46"/>
  <c r="B8" i="46"/>
  <c r="K8" i="46"/>
  <c r="B9" i="46"/>
  <c r="B10" i="46"/>
  <c r="K10" i="46"/>
  <c r="K11" i="46"/>
  <c r="B12" i="46"/>
  <c r="K12" i="46"/>
  <c r="B13" i="46"/>
  <c r="K13" i="46"/>
  <c r="B14" i="46"/>
  <c r="K14" i="46"/>
  <c r="B15" i="46"/>
  <c r="K15" i="46"/>
  <c r="K16" i="46"/>
  <c r="B17" i="46"/>
  <c r="K17" i="46"/>
  <c r="B18" i="46"/>
  <c r="K18" i="46"/>
  <c r="A17" i="45" l="1"/>
  <c r="A18" i="45"/>
  <c r="A19" i="45"/>
  <c r="A20" i="45"/>
  <c r="A21" i="45"/>
  <c r="A23" i="45"/>
  <c r="A24" i="45"/>
  <c r="A25" i="45"/>
  <c r="A27" i="45"/>
  <c r="A28" i="45"/>
  <c r="A29" i="45"/>
  <c r="A31" i="45"/>
  <c r="A32" i="45"/>
  <c r="A33" i="45"/>
  <c r="B4" i="44"/>
  <c r="K4" i="44"/>
  <c r="B5" i="44"/>
  <c r="K5" i="44"/>
  <c r="B6" i="44"/>
  <c r="K6" i="44"/>
  <c r="B7" i="44"/>
  <c r="K7" i="44"/>
  <c r="K8" i="44"/>
  <c r="B9" i="44"/>
  <c r="K9" i="44"/>
  <c r="B10" i="44"/>
  <c r="K10" i="44"/>
  <c r="B11" i="44"/>
  <c r="K11" i="44"/>
  <c r="B12" i="44"/>
  <c r="K12" i="44"/>
  <c r="K13" i="44"/>
  <c r="B14" i="44"/>
  <c r="K14" i="44"/>
  <c r="B15" i="44"/>
  <c r="K15" i="44"/>
  <c r="B16" i="44"/>
  <c r="K16" i="44"/>
  <c r="B17" i="44"/>
  <c r="K17" i="44"/>
  <c r="B18" i="44"/>
  <c r="K18" i="44"/>
  <c r="K19" i="44"/>
  <c r="B20" i="44"/>
  <c r="K20" i="44"/>
  <c r="B21" i="44"/>
  <c r="K21" i="44"/>
  <c r="B4" i="43"/>
  <c r="K4" i="43"/>
  <c r="K5" i="43"/>
  <c r="B6" i="43"/>
  <c r="K6" i="43"/>
  <c r="K7" i="43"/>
  <c r="K8" i="43"/>
  <c r="B9" i="43"/>
  <c r="K9" i="43"/>
  <c r="B10" i="43"/>
  <c r="K10" i="43"/>
  <c r="K11" i="43"/>
  <c r="B12" i="43"/>
  <c r="K12" i="43"/>
  <c r="K13" i="43"/>
  <c r="K14" i="43"/>
  <c r="K15" i="43"/>
  <c r="K16" i="43"/>
  <c r="B17" i="43"/>
  <c r="K17" i="43"/>
  <c r="K18" i="43"/>
  <c r="B4" i="42" l="1"/>
  <c r="K4" i="42"/>
  <c r="B5" i="42"/>
  <c r="K5" i="42"/>
  <c r="B6" i="42"/>
  <c r="K6" i="42"/>
  <c r="B7" i="42"/>
  <c r="K7" i="42"/>
  <c r="K8" i="42"/>
  <c r="B9" i="42"/>
  <c r="K9" i="42"/>
  <c r="K10" i="42"/>
  <c r="K11" i="42"/>
  <c r="K12" i="42"/>
  <c r="K13" i="42"/>
  <c r="B14" i="42"/>
  <c r="K14" i="42"/>
  <c r="B15" i="42"/>
  <c r="K15" i="42"/>
  <c r="K16" i="42"/>
  <c r="B4" i="41"/>
  <c r="K4" i="41"/>
  <c r="B5" i="41"/>
  <c r="K5" i="41"/>
  <c r="B6" i="41"/>
  <c r="K6" i="41"/>
  <c r="B7" i="41"/>
  <c r="K7" i="41"/>
  <c r="B8" i="41"/>
  <c r="K8" i="41"/>
  <c r="K9" i="41"/>
  <c r="B10" i="41"/>
  <c r="K10" i="41"/>
  <c r="B11" i="41"/>
  <c r="K11" i="41"/>
  <c r="B12" i="41"/>
  <c r="K12" i="41"/>
  <c r="B13" i="41"/>
  <c r="K13" i="41"/>
  <c r="K14" i="41"/>
  <c r="B15" i="41"/>
  <c r="K15" i="41"/>
  <c r="B16" i="41"/>
  <c r="K16" i="41"/>
  <c r="B17" i="41"/>
  <c r="K17" i="41"/>
  <c r="B18" i="41"/>
  <c r="K18" i="41"/>
  <c r="K19" i="41"/>
  <c r="B20" i="41"/>
  <c r="K20" i="41"/>
  <c r="B21" i="41"/>
  <c r="K21" i="41"/>
  <c r="B22" i="41"/>
  <c r="K22" i="41"/>
  <c r="B4" i="39" l="1"/>
  <c r="K4" i="39"/>
  <c r="B5" i="39"/>
  <c r="K5" i="39"/>
  <c r="B6" i="39"/>
  <c r="K6" i="39"/>
  <c r="K7" i="39"/>
  <c r="B8" i="39"/>
  <c r="K8" i="39"/>
  <c r="B9" i="39"/>
  <c r="K9" i="39"/>
  <c r="B10" i="39"/>
  <c r="K10" i="39"/>
  <c r="K11" i="39"/>
  <c r="B12" i="39"/>
  <c r="K12" i="39"/>
  <c r="B13" i="39"/>
  <c r="K13" i="39"/>
  <c r="B14" i="39"/>
  <c r="K14" i="39"/>
  <c r="K15" i="39"/>
  <c r="B16" i="39"/>
  <c r="K16" i="39"/>
  <c r="B17" i="39"/>
  <c r="K17" i="39"/>
  <c r="B18" i="39"/>
  <c r="K18" i="39"/>
  <c r="B8" i="28" l="1"/>
  <c r="B7" i="28"/>
  <c r="B17" i="28"/>
  <c r="B16" i="28"/>
  <c r="B14" i="28"/>
  <c r="B12" i="28"/>
  <c r="B11" i="28"/>
  <c r="B10" i="28"/>
  <c r="B6" i="28"/>
  <c r="B5" i="28"/>
  <c r="B4" i="28"/>
  <c r="B18" i="16" l="1"/>
  <c r="B17" i="16"/>
  <c r="B15" i="16"/>
  <c r="B14" i="16"/>
  <c r="B13" i="16"/>
  <c r="B11" i="16"/>
  <c r="B10" i="16"/>
  <c r="B9" i="16"/>
  <c r="B7" i="16"/>
  <c r="B6" i="16"/>
  <c r="B5" i="16"/>
  <c r="B4" i="16"/>
  <c r="B29" i="3"/>
  <c r="B28" i="3"/>
  <c r="B27" i="3"/>
  <c r="B26" i="3"/>
  <c r="B21" i="3"/>
  <c r="B20" i="3"/>
  <c r="B19" i="3"/>
  <c r="B18" i="3"/>
  <c r="B17" i="3"/>
  <c r="B16" i="3"/>
  <c r="B15" i="3"/>
  <c r="B25" i="3"/>
  <c r="B24" i="3"/>
  <c r="B23" i="3"/>
  <c r="B8" i="3"/>
  <c r="B7" i="3"/>
  <c r="B6" i="3"/>
  <c r="B5" i="3"/>
  <c r="B4" i="3"/>
  <c r="B13" i="3"/>
  <c r="B12" i="3"/>
  <c r="B11" i="3"/>
  <c r="B10" i="3"/>
  <c r="H27" i="1"/>
  <c r="H26" i="1"/>
  <c r="H25" i="1"/>
  <c r="H24" i="1"/>
  <c r="H23" i="1"/>
  <c r="H22" i="1"/>
  <c r="H21" i="1"/>
  <c r="H20" i="1"/>
  <c r="H19" i="1"/>
  <c r="H18" i="1"/>
  <c r="H17" i="1"/>
  <c r="H16" i="1"/>
  <c r="H15" i="1"/>
  <c r="H14" i="1"/>
  <c r="H13" i="1"/>
  <c r="H12" i="1"/>
  <c r="H11" i="1"/>
  <c r="H10" i="1"/>
  <c r="H9" i="1"/>
  <c r="H8" i="1"/>
  <c r="K6" i="16" s="1"/>
  <c r="H7" i="1"/>
  <c r="H6" i="1"/>
  <c r="H5" i="1"/>
  <c r="H4" i="1"/>
  <c r="H3" i="1"/>
  <c r="K17" i="16" s="1"/>
  <c r="K20" i="3" l="1"/>
  <c r="K9" i="3"/>
  <c r="K17" i="3"/>
  <c r="K11" i="16"/>
  <c r="K16" i="16"/>
  <c r="K27" i="3"/>
  <c r="K15" i="3"/>
  <c r="K10" i="16"/>
  <c r="K16" i="3"/>
  <c r="K15" i="16"/>
  <c r="K10" i="3"/>
  <c r="K22" i="3"/>
  <c r="K21" i="3"/>
  <c r="K29" i="3"/>
  <c r="K7" i="16"/>
  <c r="K12" i="16"/>
  <c r="K19" i="3"/>
  <c r="K11" i="3"/>
  <c r="K23" i="3"/>
  <c r="K6" i="3"/>
  <c r="K8" i="16"/>
  <c r="K4" i="3"/>
  <c r="K5" i="16"/>
  <c r="K5" i="3"/>
  <c r="K28" i="3"/>
  <c r="K4" i="28"/>
  <c r="K9" i="28"/>
  <c r="K16" i="28"/>
  <c r="K11" i="28"/>
  <c r="K5" i="28"/>
  <c r="K15" i="28"/>
  <c r="K17" i="28"/>
  <c r="K10" i="28"/>
  <c r="K14" i="28"/>
  <c r="K8" i="28"/>
  <c r="K7" i="28"/>
  <c r="K6" i="28"/>
  <c r="K12" i="28"/>
  <c r="K13" i="28"/>
  <c r="K12" i="3"/>
  <c r="K24" i="3"/>
  <c r="K7" i="3"/>
  <c r="K18" i="3"/>
  <c r="K26" i="3"/>
  <c r="K4" i="16"/>
  <c r="K13" i="16"/>
  <c r="K14" i="3"/>
  <c r="K14" i="16"/>
  <c r="K8" i="3"/>
  <c r="K13" i="3"/>
  <c r="K25" i="3"/>
  <c r="K9" i="16"/>
  <c r="K1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tc={D3DA2E2C-26DC-488E-8F7C-25EC52BD8923}</author>
    <author>tc={AAE05C41-6519-4727-A355-AF54BF6EF781}</author>
    <author>tc={6C05CF6E-1EFB-4FC9-884B-78D8288A986C}</author>
  </authors>
  <commentList>
    <comment ref="D4" authorId="0" shapeId="0" xr:uid="{D3DA2E2C-26DC-488E-8F7C-25EC52BD8923}">
      <text>
        <t>[Threaded comment]
Your version of Excel allows you to read this threaded comment; however, any edits to it will get removed if the file is opened in a newer version of Excel. Learn more: https://go.microsoft.com/fwlink/?linkid=870924
Comment:
    I would elaborate a bit more on the second sentence. How exactly does ongoing tensions impact the programme?</t>
      </text>
    </comment>
    <comment ref="D7" authorId="1" shapeId="0" xr:uid="{AAE05C41-6519-4727-A355-AF54BF6EF781}">
      <text>
        <t>[Threaded comment]
Your version of Excel allows you to read this threaded comment; however, any edits to it will get removed if the file is opened in a newer version of Excel. Learn more: https://go.microsoft.com/fwlink/?linkid=870924
Comment:
    I rthink we could say more on this hear. What are the different scenarios that might play out in the case of a change in  political leadership? Increased violence and instability ? Or the reverse? What does either scenario mean for the programme</t>
      </text>
    </comment>
    <comment ref="H11" authorId="2" shapeId="0" xr:uid="{6C05CF6E-1EFB-4FC9-884B-78D8288A986C}">
      <text>
        <t>[Threaded comment]
Your version of Excel allows you to read this threaded comment; however, any edits to it will get removed if the file is opened in a newer version of Excel. Learn more: https://go.microsoft.com/fwlink/?linkid=870924
Comment:
    Also aadd the need to ensure our every action, internally  and externally is guided by our core values of inclusivity and impartilaity</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tc={DE4960D8-5732-465B-8634-FE4237F959CD}</author>
    <author>tc={816A2B5A-96E3-461E-812A-EA69CD8A9B6F}</author>
  </authors>
  <commentList>
    <comment ref="C8" authorId="0" shapeId="0" xr:uid="{DE4960D8-5732-465B-8634-FE4237F959CD}">
      <text>
        <t>[Threaded comment]
Your version of Excel allows you to read this threaded comment; however, any edits to it will get removed if the file is opened in a newer version of Excel. Learn more: https://go.microsoft.com/fwlink/?linkid=870924
Comment:
    Creen que deberíamos incluir algo sobre "Natural Disasters"? 
Tal vez algo así:
Centralamerica is heavily affected by hurricanes and other natural disasters which affects the wellbeing of the people we work 
Reply:
    De acuerdo! muy latente en los segundos semestres de año</t>
      </text>
    </comment>
    <comment ref="C22" authorId="1" shapeId="0" xr:uid="{816A2B5A-96E3-461E-812A-EA69CD8A9B6F}">
      <text>
        <t xml:space="preserve">[Threaded comment]
Your version of Excel allows you to read this threaded comment; however, any edits to it will get removed if the file is opened in a newer version of Excel. Learn more: https://go.microsoft.com/fwlink/?linkid=870924
Comment:
    Yo aquí lo haría un poco más fuerte en que esto puede "jeopardize civic actors' safety and security"
</t>
      </text>
    </comment>
  </commentList>
</comments>
</file>

<file path=xl/sharedStrings.xml><?xml version="1.0" encoding="utf-8"?>
<sst xmlns="http://schemas.openxmlformats.org/spreadsheetml/2006/main" count="1409" uniqueCount="615">
  <si>
    <t>Ratings</t>
  </si>
  <si>
    <t>Green</t>
  </si>
  <si>
    <t>Likelihood</t>
  </si>
  <si>
    <t>Unlikely</t>
  </si>
  <si>
    <t>Possible</t>
  </si>
  <si>
    <t>Yellow</t>
  </si>
  <si>
    <t>Likely</t>
  </si>
  <si>
    <t>Highly likely</t>
  </si>
  <si>
    <t>Certain/Imminent</t>
  </si>
  <si>
    <t>Impact</t>
  </si>
  <si>
    <t>Orange</t>
  </si>
  <si>
    <t>Negligible</t>
  </si>
  <si>
    <t>Minor</t>
  </si>
  <si>
    <t>Moderate</t>
  </si>
  <si>
    <t>Severe</t>
  </si>
  <si>
    <t>Critical</t>
  </si>
  <si>
    <t>Red</t>
  </si>
  <si>
    <t>#</t>
  </si>
  <si>
    <t>Risk</t>
  </si>
  <si>
    <t>Description</t>
  </si>
  <si>
    <t>impact</t>
  </si>
  <si>
    <t xml:space="preserve">Reputational risk </t>
  </si>
  <si>
    <t>Contextual risks</t>
  </si>
  <si>
    <t xml:space="preserve">Programme risks </t>
  </si>
  <si>
    <t>Risk relating to the implementing organization</t>
  </si>
  <si>
    <t>Risk relating to the use of technology and data</t>
  </si>
  <si>
    <t>Detail</t>
  </si>
  <si>
    <t>Action</t>
  </si>
  <si>
    <t>Mitigate</t>
  </si>
  <si>
    <t>Avoid</t>
  </si>
  <si>
    <t>Accept</t>
  </si>
  <si>
    <t>Transfer</t>
  </si>
  <si>
    <t xml:space="preserve">Detoriation of security situation
</t>
  </si>
  <si>
    <t>Change of (geo)political context</t>
  </si>
  <si>
    <t>A sudden change of leadership, governance or geo-political destabilization</t>
  </si>
  <si>
    <t>Election related unrest</t>
  </si>
  <si>
    <t xml:space="preserve">Pre- and post- election (scheduled 2021)  related demonstrations, road bloacks, possible violence. </t>
  </si>
  <si>
    <t>Keeping informed on the potential risks, analyse situation and tension in each area before planning things outside and postpone events if needed.</t>
  </si>
  <si>
    <t>COVID-19 restrictions</t>
  </si>
  <si>
    <t xml:space="preserve">Lack of interest or access of target groups to paricipate. </t>
  </si>
  <si>
    <t xml:space="preserve">Youth leaders do not participate in activities or do not follow up on support provided. </t>
  </si>
  <si>
    <t>Lack of women participation</t>
  </si>
  <si>
    <t>While (young) women leaders play a big role in protests in Iraq, it could be that women are less likely to have sufficient access to activities.</t>
  </si>
  <si>
    <t>People from key positions leave positions and we need to rebuild relations</t>
  </si>
  <si>
    <t>Perception of NIMD office as partisan</t>
  </si>
  <si>
    <t xml:space="preserve">Stakeholders may consider NIMD partisan if the programme is not sensitive to different interests involved. </t>
  </si>
  <si>
    <t>With every contact and in every event the team analyses the role of NIMD and its perception towards the stakeholders, strong connections built with important stakeholders.</t>
  </si>
  <si>
    <t xml:space="preserve">Distant management </t>
  </si>
  <si>
    <t>Fraud and corruption</t>
  </si>
  <si>
    <t>Internet infrastructure are not available and weak access across the country.  Women and those who are living outside big cities are in particular at risk of not being  able to participate due to weak access to internet.</t>
  </si>
  <si>
    <t>Leaked information may make it difficult to keep sensitive information and confidentiality.</t>
  </si>
  <si>
    <t>Change of political context</t>
  </si>
  <si>
    <t>Leaked information</t>
  </si>
  <si>
    <t>Lack of cloud based repository risks loss of organizational knowledge.</t>
  </si>
  <si>
    <t>Lack of online central repository means that data and knowledge artifacts are held by individuals and on external drives which means they become vulrunable to loss.</t>
  </si>
  <si>
    <t xml:space="preserve">Some areas in Jordan have weaker internet connnections. If NIMD needs to deliver courses and work online, these slow links can significantly reduce the quality of the courses and capacity building courses done. </t>
  </si>
  <si>
    <t>Political instability</t>
  </si>
  <si>
    <t>Compliance with local law</t>
  </si>
  <si>
    <t>Unwilling target groups</t>
  </si>
  <si>
    <t xml:space="preserve">Political/governing elite may not want to participate in or even resist democratisation activities as may feel no interest in change or even threatened by them. </t>
  </si>
  <si>
    <t>Activity related safety &amp; security</t>
  </si>
  <si>
    <t>Limited capacity</t>
  </si>
  <si>
    <t>Quality of the internet network</t>
  </si>
  <si>
    <t xml:space="preserve">Staff turnover </t>
  </si>
  <si>
    <t xml:space="preserve">Staff safety </t>
  </si>
  <si>
    <t>Low digital literacy of participants</t>
  </si>
  <si>
    <t>Misinformation and hatespeech</t>
  </si>
  <si>
    <t xml:space="preserve">Risk that MySoP gets targeted in online disinformation campaigns or participants of MySoP activities are targeted or involve in online hatespeech that can harm MySoP's reputation and political space to work </t>
  </si>
  <si>
    <t>Shrinking political space</t>
  </si>
  <si>
    <t>Civic space restriction</t>
  </si>
  <si>
    <t xml:space="preserve">Actions from implementing partners might compromise NIMD mandate and mission. In particular the non-observance of the impartiality principle with regard to politcal parties </t>
  </si>
  <si>
    <t>likely</t>
  </si>
  <si>
    <t>Unauthorized access to NIMD data</t>
  </si>
  <si>
    <t>Rise of political instability and human insecurity</t>
  </si>
  <si>
    <t>Ensure continuous context analysis to shape strategies for engaging in a challenging political policy environment. Monitor probability of worsening trajectories. Consider positive
measures to safeguard civic space.</t>
  </si>
  <si>
    <t>Legal and regulatory context</t>
  </si>
  <si>
    <t>Adapt the program to keep up with changes in regulation</t>
  </si>
  <si>
    <t>Staff members, project partners and participants undergo increased scrutiny by government agencies</t>
  </si>
  <si>
    <t>Exchange of best practice on operating safely when working on potentially politically sensitive issues and in difficult political contexts</t>
  </si>
  <si>
    <t>Stakeholder engagement</t>
  </si>
  <si>
    <t>Low participation of target groups and stakeholders</t>
  </si>
  <si>
    <t>Lack of transparency</t>
  </si>
  <si>
    <t>System availability</t>
  </si>
  <si>
    <t>The non-availability of IT solutions (applications) can impact the efficiency in the production of different reports.</t>
  </si>
  <si>
    <t>The inadequacy of digital applications can affect the effectiveness of GORIN's work in data management.</t>
  </si>
  <si>
    <t>The most adequate solutions will be purchased for data management</t>
  </si>
  <si>
    <t>Access management</t>
  </si>
  <si>
    <t xml:space="preserve">Unauthorized access to data can compromise data integrity. </t>
  </si>
  <si>
    <t>The improper use of technologies and the mismanagement of internal documentary information by staff can damage the institution.</t>
  </si>
  <si>
    <t>Irregular use of internal information through technologies</t>
  </si>
  <si>
    <t>Involvement of staff members in corrupt practices.</t>
  </si>
  <si>
    <t>Dialogue repeatedly with partners in order to show the importance of supporting the promotion of inclusion for national political development, sharing the notable gains that have already been achieved and possible losses resulting from the non-prioritization of inclusive policy for Mozambique.</t>
  </si>
  <si>
    <t>The diplomatic community can prioritize other areas of action in its support to Mozambique, such as social areas and this can reduce the results that the program aims to achieve.</t>
  </si>
  <si>
    <t>Carry out activities through digital platforms, reducing travel by participants.</t>
  </si>
  <si>
    <t xml:space="preserve">Staff Transitions </t>
  </si>
  <si>
    <t xml:space="preserve">Departure of staff critical to the programme impact programme delivery </t>
  </si>
  <si>
    <t>Government surveillance</t>
  </si>
  <si>
    <t>Political crisis and electoral period</t>
  </si>
  <si>
    <t xml:space="preserve">Disruption of the agenda of political parties and MP’s </t>
  </si>
  <si>
    <t xml:space="preserve">Results deviation </t>
  </si>
  <si>
    <t xml:space="preserve">Loss of our database </t>
  </si>
  <si>
    <t>Unfair competition</t>
  </si>
  <si>
    <t>Offices establish contact with trusted lawyer/auditor and budget for adequate advice.</t>
  </si>
  <si>
    <t>Lack of knowledge of local law and regulations and their application result in accusations, sanctions to NIMD and/or staff.</t>
  </si>
  <si>
    <t>Safety and security of staff in country at base inadequately managed leading too little/too much risk.</t>
  </si>
  <si>
    <t>Limited capacity of partners</t>
  </si>
  <si>
    <t>Theft or loss of digital equipment and online storage</t>
  </si>
  <si>
    <t>International community  involvement in the wrong way</t>
  </si>
  <si>
    <t xml:space="preserve">Theft or loss of laptops and computer equipment </t>
  </si>
  <si>
    <t>Cyber security measures in place. Training of staff. Shared cloud for archives</t>
  </si>
  <si>
    <t xml:space="preserve">Fragile safety and security situation </t>
  </si>
  <si>
    <t>Safety and security situation negatively impacting on programme.</t>
  </si>
  <si>
    <t xml:space="preserve">Political/governing elite may not want to participate in or even resist democratisation activities as they may feel no interest in change or even threatened by them. </t>
  </si>
  <si>
    <t>As a new office there is risk of new regulations to comply to.</t>
  </si>
  <si>
    <t>Activity-related safety and security</t>
  </si>
  <si>
    <t>Safety and security of participants, partners and staff in activities affected.</t>
  </si>
  <si>
    <t>Partner organisation might not have the administrative and organisational capacity to implement according to agreement.</t>
  </si>
  <si>
    <t xml:space="preserve">Actions in the programme might compromise NIMD mandate and mission. </t>
  </si>
  <si>
    <t>Thorough capacity analysis at entry, identification of needs, technical support measures as part of the partnership.</t>
  </si>
  <si>
    <t>Assessments made, approach adapted accordingly, plans made and implemented. Solid training and awareness raising on safety and security.</t>
  </si>
  <si>
    <t>Loss of institutional memory, but also security risk if the information is politically sensitive.</t>
  </si>
  <si>
    <t>Fraud and corruption might come to light and harm the partnership relation, financially or reputationally.</t>
  </si>
  <si>
    <t>Local partner organisation might not have the administrative and organisational capacity to implement according to agreement.</t>
  </si>
  <si>
    <t>Safety and security of staff, partners and visitors affected</t>
  </si>
  <si>
    <t>Living security plans in place and assessments made and updated. Team culture of active security management.</t>
  </si>
  <si>
    <t>Actions from implementing partners might compromise NIMD mandate and mission.</t>
  </si>
  <si>
    <t>Clear procedures for identification of partners with capacity and risk analysis. Quality financial and controls manual in place. Active monitoring &amp; controls, trustworthy staff.</t>
  </si>
  <si>
    <t>Resulting in office closure and suspension/end of programme.</t>
  </si>
  <si>
    <t>PEA shows that the international community, that funds our programmes, is part of the problem. Addressing this may affect our fundraising and programming.</t>
  </si>
  <si>
    <t>Fraud and corruption come to light and harm, financially or reputationally, the partnership relation</t>
  </si>
  <si>
    <t>loss of institutional memory, but also security risk if the information is politically sensitive.</t>
  </si>
  <si>
    <t>State security listen and record conversation text and audio) of staff members and partners.</t>
  </si>
  <si>
    <t xml:space="preserve">COVID-19 online work difficulties, loss of data and work. </t>
  </si>
  <si>
    <t xml:space="preserve">Changing legislation </t>
  </si>
  <si>
    <t>Authorization to operate is withdrawn</t>
  </si>
  <si>
    <t>Working in Fragile and Conflict Affected Settings (FCAS) </t>
  </si>
  <si>
    <t>Shift of power </t>
  </si>
  <si>
    <t>Financial Mismanagement </t>
  </si>
  <si>
    <t>Natural desasters/Terroristactivity  </t>
  </si>
  <si>
    <t>The Consortium is (increasingly) working in political environments which are extremely polarised and divided and in countries that moved either just out of conflict, find themselves in conflict or are at risk of moving towards conflict. Working in these environments brings a certain safety and security risk with it. </t>
  </si>
  <si>
    <t>As the nature of our work is working with politicians, and in the coming five years there will be elections, there might be a continuity risks in each of the countries. The same goes for the risk of a shift of power due to a regime change.  </t>
  </si>
  <si>
    <t>In any organisation there is a risk of fraud, financial mismanagement and ineffective countermeasures if one of both is detected. </t>
  </si>
  <si>
    <t>Natural desasters, health crisis or terrorist activities might hamper activities.  </t>
  </si>
  <si>
    <t>Supply-driven </t>
  </si>
  <si>
    <t>Within the programming, there might be a risk the Consortium Members offer a solution for not the most urgent problem. </t>
  </si>
  <si>
    <t>Shrinking democratic space </t>
  </si>
  <si>
    <t>The phenomenon of shrinking democratic space is a major factor that cannot be ignored by any democracy assistance programme </t>
  </si>
  <si>
    <t>Changing contexts </t>
  </si>
  <si>
    <t>With changing (political) contexts, the Consortium might be unable to deliver and measure results. </t>
  </si>
  <si>
    <t>Safety &amp; Security </t>
  </si>
  <si>
    <t>Safety &amp; Security risks </t>
  </si>
  <si>
    <t>Dependance on one person (director) </t>
  </si>
  <si>
    <t>If this person leaves, there might be a risk of lack of leadership, indecisiveness, long response times or lack of accountability. </t>
  </si>
  <si>
    <t>Integrity  </t>
  </si>
  <si>
    <t>Breach of Code of  Conduct </t>
  </si>
  <si>
    <t>Privacy breach (GPDR) </t>
  </si>
  <si>
    <t>With the General Data Protection Regulation (GPDR) in Europe, the risk of having a privacy breach is especially a risk for the Consortium Lead. </t>
  </si>
  <si>
    <t>Digital vulnerabilities </t>
  </si>
  <si>
    <t>As the work of the Consortium will be in the physical and digital world, digital security Issues, including the hacking of systems, is a real risk. </t>
  </si>
  <si>
    <t>As this risk can only be avoided by not working in certain countries, so we accept the risk in itself. By installing the right set of Safety &amp; Security strategies (what actual risks are seen) and Safety &amp; Security policies (how is acted in certain situations), this risk is manageable. Also making sure the assessment is done continuously, in close contact with all parties involved. Part of managing this risk is to ensure that stakeholders are able to manage conflicts. Conflict could affect dialogue processes and progress. Therefore the ability to effectively deal with conflict(uous) situations and opposing positions  ensures strategic programming. </t>
  </si>
  <si>
    <t>For the Consortium, the principles of impartiality and inclusiveness are crucial and central to our work. These principles enable us to implement programmes effectively and make this risk is acceptable and can be (partly) mitigated. </t>
  </si>
  <si>
    <t>To make sure this risk is mitigated, clear anti-fraud and corruption policies are in place and communicated within the consortium. Part of the capacity training will be to make sure the policies are more than only paper. Also the follow up within the Consortium on the due diligence review will be part of building this capacity. On top of this the Consortium has whistleblowing mechanism in place which would allow any person to come forward in case of any suspicion. </t>
  </si>
  <si>
    <t>This in itself is again a risk that cannot be avoided. To make sure this risk is manageable we made sure the Safety &amp; Security policies are in place and communicated within the consortium.</t>
  </si>
  <si>
    <t>When a new program is started, a Political Economy Analysis is done. This includes a stakeholders analysis and a risk assessment. By adaptive programming and making sure, we learn from our mistakes (failing forward), the Consortium believes this risk is mitigated</t>
  </si>
  <si>
    <t>Again, this is a risk that cannot be avoided or that can insured. However, by making sure the democratic landscape is known via our Political Economy Analysis and lobby and advocate for our type of work, this risks is mitigated.</t>
  </si>
  <si>
    <t>By following the Monitoring, Evaluation, and Learning (PMEL) Framework the Consortium is able to identify these changes quickly. By making sure the communication lines in the network and to our donors are open, this risk is manageable</t>
  </si>
  <si>
    <t>Within the Consortium Lead a Safety &amp;Security policy is in place and this is shared within the consortium. Part of the capacity building will be to make sure the partners in the network also have access to these policies.</t>
  </si>
  <si>
    <t>By making sure the governance structure of the organisation is in place, this risk is limited and therefore acceptable</t>
  </si>
  <si>
    <t>The Integrity policy is in place and communicated within the consortium, also to the partners in the network. The same goes for the Whistle-blower procedure.</t>
  </si>
  <si>
    <t xml:space="preserve">To mitigate this risk a Privacy Policy is in place </t>
  </si>
  <si>
    <t xml:space="preserve">Having a solid ICT-system in place is the best way to mitigate this risk. But not only making back-ups will be sufficient. In the past year, the Consortium Lead has invested in digital security tools (eg password-managers, encrypted emailing, etc) and awareness trainings. This knowlegde will be shared in the bigger network. </t>
  </si>
  <si>
    <t>Maintain contact with relevant Ministries, but also with likeminded organisations, embassies (NL, EU) and build trust and transparency on programming.</t>
  </si>
  <si>
    <t xml:space="preserve">PEA shows that the international community, that funds our programmes, is part of the problem. Therefore, there is a risk that the Institute is associated with their interests. </t>
  </si>
  <si>
    <t xml:space="preserve">Invest in ILA (international lobbying advocacy) and share our analysis strategically, in and outside the region. Strenghten trust relations with local and national actors </t>
  </si>
  <si>
    <t xml:space="preserve">Sudden increase in political instability and insecurity </t>
  </si>
  <si>
    <t>Political and security crisis directly affect our ability to operate and carry out programme.</t>
  </si>
  <si>
    <t xml:space="preserve">Adaptive programming covers situation of (temporary) closure of our working space. Teams are prepared to temporarily hibernate, in terms of programming and in terms of operations. </t>
  </si>
  <si>
    <t>Lack of compliance with local laws</t>
  </si>
  <si>
    <t xml:space="preserve">Continued closure of democratic space  </t>
  </si>
  <si>
    <t>Government response to political crises lead to restrictions of citizens’ right to organize, speak out and take action, affecting interventions and space to operate</t>
  </si>
  <si>
    <t xml:space="preserve">Office monitor the context and maintain contact with INGO, local CSOs and polical parties. Keep embassies and  EU informed. Maintain non-partisan approach.                             </t>
  </si>
  <si>
    <t>Unwilling or resisting target groups</t>
  </si>
  <si>
    <t>Maintaining good network of relevant political actors, seeking out actors of change, yet remaining unpartisan. Maintaining pressure through youth and women civil and political organisations.</t>
  </si>
  <si>
    <t>Invest in ILA (international lobbying and advocacy) and share our analysis in strategic fashion, in and outside the region. Invest in donor relations, in a manner that allows us to test/push where the limits are.</t>
  </si>
  <si>
    <t>Activity-related safety and security issues</t>
  </si>
  <si>
    <t xml:space="preserve">Safety and security of participants, partners and staff in activities inadequately managed, resulting in harm. </t>
  </si>
  <si>
    <t xml:space="preserve">Assessments made, approach adapted accordingly, plans made and implemented. The evolution of the Covid is closely monitored by the Team and mitigation measures have been taken. </t>
  </si>
  <si>
    <t xml:space="preserve">Lack of recognition on the issue of women political participation and representation </t>
  </si>
  <si>
    <t>Social and cultural barriers to women's full political participation hamper moving forward on this issue both by disengaged men as well as unconvinced women</t>
  </si>
  <si>
    <t xml:space="preserve">Continuous PEA analysis to identify the challenges, invest in trust building and information dissemination, use good internationa practice and examples and integrate these in our activities. </t>
  </si>
  <si>
    <t>Thorough capacity analysis at entry, identification of needs, technical support measures as part of the partnership, active monitoring and ensuring a broad range of collaboration partners to shift parnterships if needed.</t>
  </si>
  <si>
    <t xml:space="preserve">Communications guidance. Clear communication and agreement on common objectives. 
</t>
  </si>
  <si>
    <t>Tracking and eavedropping of smartphones</t>
  </si>
  <si>
    <t>Use of crypted app, two factor authentication and the training of staff. Accept this risk and assume this takes place.</t>
  </si>
  <si>
    <t>High speed internet investment, use other means of communication.</t>
  </si>
  <si>
    <t>Living security plans in place and assessments made and updated. Team culture of active proactive security management</t>
  </si>
  <si>
    <t>Political crisis directly affects our ability to operate and carry out programme. Political instability may also require us to rethink the political actors targeted by the program.</t>
  </si>
  <si>
    <t>Adaptive programming covers situation of (temporary) closure of our working space. Teams are prepared to temporarily hibernate, in terms of programming and in terms of operations. At the national level, there is a need to remain flexible in programming in order to adapt to any abrupt political changes.</t>
  </si>
  <si>
    <t>Maintaining good network of relevant political actors, seeking out actors of change, yet remaining unpartisan. Conducting advocacy with political decision-makers.</t>
  </si>
  <si>
    <t xml:space="preserve">Clear procedures for identification of partners with capacity and risk analysis. Quality financial and controls manual in place. Active monitoring and controls, trustworthy staff. Choose credible and legitimate partners.
</t>
  </si>
  <si>
    <t xml:space="preserve">    Authorization to operate </t>
  </si>
  <si>
    <t>Authorisation to operate is withdrawn, resulting in office closure and suspension/end of programme</t>
  </si>
  <si>
    <t>Maintain contact with relevant Ministries, but alos with likeminded organiations, embassies (NL, EU)
 Continue request for authorisation in Niger. Provide clear information about NIMD Strategy mainly link to our partnership with political parties</t>
  </si>
  <si>
    <t>Undermining by other democracy support organisations</t>
  </si>
  <si>
    <t>Other democracy support programmes and organisations are sometimes less impartial (such as Konrad Adenauer foundation oriented towards supporting a group of liberal parties)  which impacts on our work and approach</t>
  </si>
  <si>
    <t xml:space="preserve">Liaison and coordination with donors and other democracy support organisations. Build strong relationship with all trend of political parties based on transparency </t>
  </si>
  <si>
    <t>Safety &amp; security of staff, partners and visitors</t>
  </si>
  <si>
    <t>Safety &amp; security of staff in country at base inadequately managed leading too little/too much risk</t>
  </si>
  <si>
    <t>Living security plans in place and assessments made and updated
Promote Team culture of active security management</t>
  </si>
  <si>
    <t>The political context especially related to the 2020-2021 elections in Niger can directly affect our ability to operate and deliver the program as an organization working on political issues with transparency and accountability as expected outcomes and guiding principle</t>
  </si>
  <si>
    <t xml:space="preserve">Adaptive programming covers situation of (temporary) closure of our working space
Teams are prepared to temporarily hibernate, in terms of programming and in terms of operations. Maintain regular contact with strategic actors in the country. Be fair and transparent </t>
  </si>
  <si>
    <t>Lack of knowledge of local law and regulations and their application result in accusations, sanctions to NIMD and/or staff</t>
  </si>
  <si>
    <t>Offices establish contact with trusted lawyer/auditor and budget for adequate advice</t>
  </si>
  <si>
    <t xml:space="preserve">Maintaining good network of relevant political actors, seeking out actors of change, yet remaining unpartisan  </t>
  </si>
  <si>
    <t>Safety &amp; security of participants, partners and staff in activities in adequately managed, resulting in harm</t>
  </si>
  <si>
    <t>Assessments made, approach adapted accordingly, plans made and implemented</t>
  </si>
  <si>
    <t>The cvic space in Niger being very uncertain the partnership with NIMD around issues of democratic governance may expose partner organizations and their facilitators to existential or security risks</t>
  </si>
  <si>
    <t>Necessary risk analysis prior to any partnership. Risk prevention actions to be planned jointly with the partner</t>
  </si>
  <si>
    <t>partner organisation does not have the administrative and organisational capacity to achieve its programmatic objectives</t>
  </si>
  <si>
    <t xml:space="preserve">Thorough capacity analysis at entry, identification of needs, technical support measures as part of the partnership </t>
  </si>
  <si>
    <t xml:space="preserve">Communications guidelines and continous follow up
Clear communication and agreement on common objectives. * Elaboration and popularization of NIMD code of conduct 
</t>
  </si>
  <si>
    <t>Fraud &amp;  corruption come to light and harm fincially, reputationally, partnership relation</t>
  </si>
  <si>
    <t>Clear procedures for identification of partners with capacity and risk analysis. Quality financial &amp; controls manual in placeActive monitoring &amp; controls, ensure trustworthy staff and checking references</t>
  </si>
  <si>
    <t>Theft or loss of laptops</t>
  </si>
  <si>
    <t>loss of institutional memory, but also security risk if the information is politically sensitive</t>
  </si>
  <si>
    <t>Cyber security measures in place; training of staff; shared cloud for archives</t>
  </si>
  <si>
    <t xml:space="preserve">As result of the law on access to personal communication passed by nigerien parliament last august, organizations working in the country are a risk of having their data hacked by the government </t>
  </si>
  <si>
    <t xml:space="preserve">Implementation of effective data protection system. Trust bulding strategy to develop with government </t>
  </si>
  <si>
    <t>loss of internet quality</t>
  </si>
  <si>
    <t xml:space="preserve">the low quality of internet connection in Niger can affect the efficiency of NIMD work, particularly the remote exchanges often necessary for the sharing experiences </t>
  </si>
  <si>
    <t>Investment for a better internet access device</t>
  </si>
  <si>
    <t>Democratic backsliding in target countries negatively affects civic space and a politicisation of the Action alienates essential institutional counterparts</t>
  </si>
  <si>
    <t>Evolution of the increasingly strict regulations for the implementation of our actions</t>
  </si>
  <si>
    <t>Security &amp; Inference of the government</t>
  </si>
  <si>
    <t>Strengthening our existing networks and tapping into other women and youth CSOs. Ensure the relevance of the actions also for CSOs with structures and capacities.</t>
  </si>
  <si>
    <t>Lack of reactivity (timeliness)</t>
  </si>
  <si>
    <t>The lack of reactivity of the  partners can lead to the non-respect of schedules, thus affecting the implementation.</t>
  </si>
  <si>
    <t>The GORIN will monitor the activities from the very beginning in order to detect delays promptly</t>
  </si>
  <si>
    <t>Lack of resources can affect the achievement of objectives, as well as implementation capacity</t>
  </si>
  <si>
    <t>Mobilization of additional resources that can complement the available resources.</t>
  </si>
  <si>
    <t>Lack of transparency, fraud and corruption can damage GORIN's reputation and affect the achievement of its objectives</t>
  </si>
  <si>
    <t>Partners and youth and women's organizations do not have the organizational and administrative capacity to actively participate in the program</t>
  </si>
  <si>
    <t>Prior to the start of the program, a mapping of partners and a needs assessment to provide appropriate capacity building</t>
  </si>
  <si>
    <t>Lack of trust from partners that can affect GORIN's reputation.</t>
  </si>
  <si>
    <t>Donors policies</t>
  </si>
  <si>
    <t>Isolationism policy followed by donors during the following years due to the economic recession</t>
  </si>
  <si>
    <t>Invest in ILA and share our analysis in strategic plan in and outside the region
Invest in donor relations, in a manner that allows us to test/push where the limits are</t>
  </si>
  <si>
    <t>Creation of a training academy within certain political parties and within the parliament, in addition other organizations support programs similar to ours</t>
  </si>
  <si>
    <t>Strenghen the Liaison and coordination with donors and other democracy support organisations</t>
  </si>
  <si>
    <t>Inability to decentralize our activities to other regions of the country experiencing security problems or social protests</t>
  </si>
  <si>
    <t>Setting security plans in place and assessments made and updated
Team culture of active security management</t>
  </si>
  <si>
    <t>Political crisis can affects our ability to carry out programme, The involvement of political parties and the Parliament during the election period affects our activities plan and even their success</t>
  </si>
  <si>
    <t>Adapting our activities' plan to the present situation, political events, parliament and political parties' agenda</t>
  </si>
  <si>
    <t>Risks associated with the regression of democratic and civic space</t>
  </si>
  <si>
    <t xml:space="preserve">    Insufficient funding</t>
  </si>
  <si>
    <t>Limited budget limit the number of activities,   classes and limit our target groups, this also limits our recruitment capacity to enrich our staff with qualified people,</t>
  </si>
  <si>
    <t>Additional fundraising in order to strengthen impact through conducting complementary activities</t>
  </si>
  <si>
    <t>This Disruption during certain period ( elctoral period/ crisis period) has an impact on our activities: training session, participation of certain MP’s in our activities such as the dialogue platform or other activities</t>
  </si>
  <si>
    <t>Deviation between the objectives / results initially declared and those achieved, The initially chosen assumptions are more suited to a situation of stability rather than crisis situations</t>
  </si>
  <si>
    <t>A constant review of our ToC and programmes in order to be more suitable to the present situation</t>
  </si>
  <si>
    <t>Fraud, corruption and Reputational risk</t>
  </si>
  <si>
    <t xml:space="preserve">The reputation of certain stakeholders (political parties, civil society organizations, deputies, etc.) can harm ours.  </t>
  </si>
  <si>
    <t xml:space="preserve">Clear procedures for identification of partners with capacity and risk analysis
Clear communication and agreement on common objectives
Concerning its internal functionning, CEMI until its creation, established a modern adminestration based on the rule of good gouvernance and transparence </t>
  </si>
  <si>
    <t>Loss of institutional memory and records</t>
  </si>
  <si>
    <t>Cyber security measures in place ; training of staff ; shared cloud for archives, archive best practice</t>
  </si>
  <si>
    <t>Access to Personal DATA</t>
  </si>
  <si>
    <t xml:space="preserve">Risk of confidentiality with the use of certain applications (for example: zoom) </t>
  </si>
  <si>
    <t>Cyber security measures in place ; training of staff ; shared cloud for archives</t>
  </si>
  <si>
    <t xml:space="preserve">As governments change, different priorities may arise which can impact the programming by NIMD. E.g. drop thematic advocacy and work on municipal elections. This is an always present risk in Jordan </t>
  </si>
  <si>
    <t>We cannot work on Covid itsefl but we can try to develop more engaing means of online or hybrid deliveries that is not based on long sessions in front of screens but shorter and more exercise based. Also, invite high level speakers and role models.</t>
  </si>
  <si>
    <t xml:space="preserve">Governments will always have new needs and priorities and they will look at INGOs as partners in accomodating t heir needs. In this case, they may request new courses content or debates content. This risk is related to possibility of being asked to engage with PPs following the recommendations of the royal committee. </t>
  </si>
  <si>
    <t>Be agile and responsive to governments but establish this early in the year and communicate our plans which will become difficult to change once started.</t>
  </si>
  <si>
    <t>Quality of data link for some may jeoperdie quality of online program delivery if online delivery is needed</t>
  </si>
  <si>
    <t>Invest in strong links for students if needed  and avail recorded sessions for student to attend offline.</t>
  </si>
  <si>
    <t>Ensure access to internet for those who are selected to take part in the program. Actively target women participants and ensure their access to internet</t>
  </si>
  <si>
    <t>The context analysis has shown the multiple threats that Iraq faces with the increasing tension between regional and global powers inside the country, the unsolved “Kurdistan issue,”  the weak economy, corruption and high employment. In this case saftey of stakeholders in the programme ia at risk  and the program activities cannot continue</t>
  </si>
  <si>
    <t xml:space="preserve">Keeping informed on the potential risks, analyse situation and tension in each area before planning things outside and postpone events if needed. Change events to on-line training or even consider meetings and trainings outside the country (post –COVID- 19)
</t>
  </si>
  <si>
    <t xml:space="preserve">Establish and maintain wide range of networks and good reputation among political actors with different views </t>
  </si>
  <si>
    <t>Various restrictions such as on number of people that can attend an event, travel restrictions</t>
  </si>
  <si>
    <t>Reduce number of participants, rent large halls, keep to COVID measures in-country, wear masks and make sure that sufficient sanitation is provided</t>
  </si>
  <si>
    <t>Risk related to establishing a new programme: the exploratory nature of the process, the trial and error involved, and the mistakes that can be made.</t>
  </si>
  <si>
    <t xml:space="preserve">Starting   a new program in unstable context especially if regular travels and monitoring visits remain difficult, present a risk for the quality and timely implementation. </t>
  </si>
  <si>
    <t>Intensify our contacts with the ground through our local partner/s and having a local NIMD staff coordinator. Also through having a regular consultation meeting with different and key actors. Ensure close and regular cooperation with NL Embassy staff . In depth- reviews of our work to revise and fine-tune our strategies. PEA analysis to inform our interventions</t>
  </si>
  <si>
    <t xml:space="preserve">Crafting dynamic, engaging and impactful programmatic ideas with regular consultations with stakeholders </t>
  </si>
  <si>
    <t xml:space="preserve">Address and try to solve the challenges preventing women from participation (i.e, ensure a secure transportation and accommodation, ensure access to on-line service)
</t>
  </si>
  <si>
    <t>Maintain relations with key persons in each institution or party</t>
  </si>
  <si>
    <t xml:space="preserve">Security risk due to NIMD seen as a foreign entity promoting Western style democracy </t>
  </si>
  <si>
    <t xml:space="preserve">Organizations promotes democracy in unstable security  environment might be a target to terrorists groups and militates </t>
  </si>
  <si>
    <t>Get the support of the government and create political allies . Avoid controversial matters/issues in the design and the implementation of our program such as religion. Maintain high level of impartiality and inclusivity in the selection of the participants, program design and implementation. Ensure that NL embassy is fully informed and updated about our work and the operational environment. Avoid security tension areas and spots.</t>
  </si>
  <si>
    <t xml:space="preserve">Clear description and division of tasks, and line of command between staffs and staffs and advisors </t>
  </si>
  <si>
    <t>Actions from partners might compromise NIMD mandate and mission</t>
  </si>
  <si>
    <t xml:space="preserve">Clear communication and agreement on common objectives
</t>
  </si>
  <si>
    <t>Clear procedures for identification of partners with capacity and risk analysis
quality financial &amp; controls manual in place
Active monitoring &amp; controls, trustworthy staff</t>
  </si>
  <si>
    <t>Lack of access to techology by target groups.</t>
  </si>
  <si>
    <t xml:space="preserve">Too many people can access sensitive information (personal data, politically sensitive information) or sensitive information gets leaked </t>
  </si>
  <si>
    <t>Create a documentation plan with restricted access to sensitive information, use online platforms and digital technologies in the knowledge that this information can be accessed by others</t>
  </si>
  <si>
    <t xml:space="preserve">The COVID-19 cases have gone down in the Country and a numbr of lockdown restrictions have been eased by the government. However, there are still numerous warnings over a pending third wave that may affect activity implementation since the target actors will not be available leading to delays in the implementation of activities requiring travel and physical meetings.  </t>
  </si>
  <si>
    <t>Adaptive activity implementation will be employed with some activities being carried out virtuallly up until the situation becomes better and safer for physical meetings</t>
  </si>
  <si>
    <t xml:space="preserve">Information security and infringement on privacy of NGOs </t>
  </si>
  <si>
    <t>There is a general belief that the Country's security apparatus has put in place a robust spy network that deploys intrusive technology to monitor and extract information from any suspicious entities especially International organisation involved in human rights and governance work.</t>
  </si>
  <si>
    <t xml:space="preserve">Poor internet connectivity and digital gender gap </t>
  </si>
  <si>
    <t xml:space="preserve">Uganda has a very low interent coverage therefore causing a challenge to the technological and geographical barries for marginalised stakeholders such as women and young people. Even areas that are covered, have a low bandwidth which continues to affect our work especially when it is conducted online. The cost of data widens the digital gender gap and this is a structural barrier to women's participation in democratic processes </t>
  </si>
  <si>
    <t xml:space="preserve">NIMD Uganda and AMwA has in the interim facilitated staff and stakeholders with more data bundles to be able to access internet through mobile service providers as these are a better option for internet access. </t>
  </si>
  <si>
    <t xml:space="preserve">The uncertainty occassioned by the COVID-19 still remains. Although the government has rolled out a vaccination campaign, the uptake has been slow.  Mistrust ocassioned by perceived misuse of the pandemic for political gains has also contributed to low uptake as well as non-compliance with guidelines. </t>
  </si>
  <si>
    <t>Partisan political ecosystem</t>
  </si>
  <si>
    <t>Increasing reliance of technology-anchored alternatives by political actors (parliament e.g.), due to the implications of the pandemic risks engendering exclusion of key target groups, due to cost limitations and constrained utilization capacity.</t>
  </si>
  <si>
    <t>With the conflict continue unabated in Ethiopia the degree of risk for the political parties related work considerably increasing. Both the government and oppositions have continued to be intollerant</t>
  </si>
  <si>
    <t xml:space="preserve">Have security plan ready to ensure everyone is safe and for any eventuality of a staff or institution being implicated it will be good to engage the appropriate government institutions to explain </t>
  </si>
  <si>
    <t xml:space="preserve">COVID restrictions </t>
  </si>
  <si>
    <t>Democratic institutions or women and youth leaders do not participate in activities or do not follow up on support provided</t>
  </si>
  <si>
    <t xml:space="preserve">crafting dynamic, engaging and impactful programmatic ideas with regular consultations with stakeholders </t>
  </si>
  <si>
    <t>Political parties may consider NIMD partisan if the programme supports one group too much according to other stakeholders</t>
  </si>
  <si>
    <t>With every contact and in every event the team analyses the role of NIMD and its perception towards the stakeholders, strong connections built with important stakeholders, HR policy that support diversity of staff</t>
  </si>
  <si>
    <t>lack of access to technology by target groups</t>
  </si>
  <si>
    <t>Target groups such as young political leaders have a lack of access to quality internet to be in touch with their peers</t>
  </si>
  <si>
    <t>Covid - 19 in Mozambique</t>
  </si>
  <si>
    <t>For the activities that are possible, these will be carried out based on hybrid methods: Virtually and in person</t>
  </si>
  <si>
    <t>Continuing to privilege informal spaces that have the potential to advocate, raise awareness and influence actors' practices, behaviors and attitudes.</t>
  </si>
  <si>
    <t>The diplomatic community does not prioritize inclusive politics in its political agenda with mozambique</t>
  </si>
  <si>
    <t>Staff members may be susceptible to corrupt behaviors, putting the organization's work and image at national and international level on risk.</t>
  </si>
  <si>
    <t>Repeatedly instill in staff the need to comply with internal financial and programmatic management standards</t>
  </si>
  <si>
    <t>Create and share with staff, internal information management policies and institutional documents archive</t>
  </si>
  <si>
    <t xml:space="preserve">Beneficiaries and team are threathened by illegal groups </t>
  </si>
  <si>
    <t xml:space="preserve">Illegal groups threathen NIMD team and beneficiaries preventing the development of interventions </t>
  </si>
  <si>
    <t>Held activities until threats are discarded and promote a safe space for all the actors. Implement NIMD's security plan. Advance in a current consultancy with Protection Intenational for staff and beneficiaries</t>
  </si>
  <si>
    <t xml:space="preserve">Riots and instability affect the development of activities </t>
  </si>
  <si>
    <t xml:space="preserve">Due to riots and instability NIMD can't reach territories neither can guarantee participation of civil society </t>
  </si>
  <si>
    <t>NIMD will prioritize actions and resources that can be held and will reschedule actions that are dependant of public stability</t>
  </si>
  <si>
    <t xml:space="preserve">NIMD loses team and has to spend time looking for and preparing other members </t>
  </si>
  <si>
    <t xml:space="preserve">Since the military coup on February 1st 2021, the future and prospects of the political context of Myanmar compelety turned. It is still unclear how the situation will develop. So far the military failed to establish meaningul control over the state but violence and supression by the military is increasing, the pro-democracy movement persist, and the National Unity Goverment (NUG) is gaining power and legitimacy. </t>
  </si>
  <si>
    <t>Risk associated with political stability, peace and security.  Conflict is likely to increase depending on the course the military will take and the reaction of the Ethnic Armed Organizations (EAOs)</t>
  </si>
  <si>
    <t xml:space="preserve">COVID-19 restrictions tightened in Myanmar and neighboring countries </t>
  </si>
  <si>
    <t>Lack of 'safe space'</t>
  </si>
  <si>
    <t xml:space="preserve">Low levels of willingness to participate in activities </t>
  </si>
  <si>
    <t>During a crisis situation where individuals are struggling to manage their mental and phsyical wellbeing, the relevancy of democracy education programs may be diminished. To those who do have the capacity and motivation to participate, the adequet resources (stable internet, privacy, etc.) might not be available to them to take part in planned activities.</t>
  </si>
  <si>
    <t>Safety and security concerns compound lack of trust and tolerance</t>
  </si>
  <si>
    <t>Staff and stakeholders may be exposed to fraudulent and corruption practices</t>
  </si>
  <si>
    <t>Sexual Explotation Abuse and Harrasement (SEAH)</t>
  </si>
  <si>
    <t>Staff and stakeholders may be exposed to harmful SEAH practices</t>
  </si>
  <si>
    <t>Rigorous safeguarding policies and practices. Safeguarding measures are monitered and senior management held accountable. Clear expectations on staff and stakeholders on professional and personal conduct. Effective awareness on SEAH is conducted. Programmes are designed, implemented and monitored with a gender perspectives, including taking SEAH policies and practices into consideration. Allegations and concerns are responded to effectively using a survivor-centered approach</t>
  </si>
  <si>
    <t xml:space="preserve">Participants and political parties risk to have lower digital literacy, regardless of which online platform is used. If online platforms are utilized more in the future, this will be increasigly imminent </t>
  </si>
  <si>
    <t>Reputational damage</t>
  </si>
  <si>
    <t xml:space="preserve">Communications guidance. Clear communication and agreement on common objectives, procedures and approach, respecting organsiatonal values
</t>
  </si>
  <si>
    <t>Organisational fraud and/or corruption come to light and harm, financially or reputationally, inclduing with subcontracted partners</t>
  </si>
  <si>
    <t xml:space="preserve">NIMD Uganda and AMwA plan to continue its transparent engagements with Government agencies to increase trust and confidence in its work. One works under the assumption of being closely monitored. </t>
  </si>
  <si>
    <t>Royal Committee sets out new priorities</t>
  </si>
  <si>
    <t>Change in political development priorities</t>
  </si>
  <si>
    <t xml:space="preserve">Government rolls out new more restrivctive  procedures for CSOs and INGOs </t>
  </si>
  <si>
    <t xml:space="preserve">If Covide 19 returns with a vengeange,this will result in disruption to NIMD programming affecting method of delivery and number of interested paticiapants. </t>
  </si>
  <si>
    <t>Resurgence of COVID-19</t>
  </si>
  <si>
    <t xml:space="preserve">Government priorities around political development change (e.g. include PPs) </t>
  </si>
  <si>
    <t xml:space="preserve">Fraud, corruption </t>
  </si>
  <si>
    <t xml:space="preserve">Financial mismanagement and fraud can take place in interations with local partners, affecting credibility </t>
  </si>
  <si>
    <t>Compliance with the administrative and financial pre-procedure manuaIncreased internal control and independent audit</t>
  </si>
  <si>
    <t xml:space="preserve">Active communication
Independant financial control &amp; audit </t>
  </si>
  <si>
    <t>Investing in the purchase of suitable new materials. Train the necessary personnel to use the applications</t>
  </si>
  <si>
    <t>Access to the data will be restricted to authorized personnel only.
A role management system and permission levels will be built in.</t>
  </si>
  <si>
    <t>Non functioning  digital solutions</t>
  </si>
  <si>
    <t>Lack of other programme partners</t>
  </si>
  <si>
    <t xml:space="preserve">Lack of clarity on who is responsible for what, miscommunicaitons, disengagements. </t>
  </si>
  <si>
    <t>Sustained engagement with main actors in the political class to secure critical wins in relevant areas; inclusive politics, openness and transparency in governance; enhance civic awareness campaigns.</t>
  </si>
  <si>
    <t>Use of technology tailored alternatives (Working from home);  Enforcement of Covid-19 protocols: Enhanced staff complement. Staff encouraged to get vaccinated</t>
  </si>
  <si>
    <t>Strong focus on making resources available for fundraising to attract and retain staff. Enhanced institutional memory and documentation. Proper transition planning and investment in onbaording process for new staff.</t>
  </si>
  <si>
    <t xml:space="preserve">Where possible use multi-ways of engaging target groups to ensure diversity in public participation. </t>
  </si>
  <si>
    <t>Ongoing COVID-19 Pandemic</t>
  </si>
  <si>
    <t xml:space="preserve">Maintain issue-based, non-partisan engagement and focus. This risk is part and parcel of the overall approach in working on democratization and with poltiical actors. Flexibility is key. </t>
  </si>
  <si>
    <t>COVID-19 Pandemic Effects</t>
  </si>
  <si>
    <t>COVID-19 Pandemic in-house</t>
  </si>
  <si>
    <t>Digital exclusion</t>
  </si>
  <si>
    <t xml:space="preserve">Increased political violence </t>
  </si>
  <si>
    <t xml:space="preserve">The security situation in the country is still very fragile. The ongoing tensions in the different parts of the country have an effect on programming and the position of the office. </t>
  </si>
  <si>
    <t xml:space="preserve">Keeping relations and non-partisan values high, explain approach and promote peaceful cooperation. </t>
  </si>
  <si>
    <t xml:space="preserve">Negative enviroment </t>
  </si>
  <si>
    <t xml:space="preserve">Lack of interest of target groups in the programme objectives </t>
  </si>
  <si>
    <t>Loss of other partners financing the organisation</t>
  </si>
  <si>
    <t xml:space="preserve">Financing partners may discontinue their support to IMD thereby affefcting the functioning of the organisation and other programming </t>
  </si>
  <si>
    <t>Protect data and use strong passwords and common safety measures. At the same time it is almost impossible to fully deter, so accept this risk and continously be aware of this and take it into account</t>
  </si>
  <si>
    <t>Increase in corruption cases</t>
  </si>
  <si>
    <t xml:space="preserve"> Threats to press freedom</t>
  </si>
  <si>
    <t xml:space="preserve">Physical aggression, intimidation and threats against human rights defenders </t>
  </si>
  <si>
    <t xml:space="preserve">From 2021-2025, general elections will be held in Guatemala, El Salvador and Honduras, and with this, there will be an increase in cases of violence and possible influence peddling between authorities and candidates. </t>
  </si>
  <si>
    <t>Lack of commitment from political and civic actors</t>
  </si>
  <si>
    <t xml:space="preserve">Political and civic actors do not show interest and/or commitment in the training and dialogue processes promoted by the Program. </t>
  </si>
  <si>
    <t>Lack of commitment from implementing partners</t>
  </si>
  <si>
    <t>- Accommodations and non-compliance with deadlines, reports and interventions by implementing partners.                             _x000D_
-Lack of capacity and competencies of partners.</t>
  </si>
  <si>
    <t>-Stimulate and promote co-responsibility and commitment to the design, execution, monitoring and evaluation of the execution and results obtained with the implementing partners.  _x000D_
-To make timely adjustments that guide the fulfillment of outcomes outline</t>
  </si>
  <si>
    <t>Political actors participating in dialogue spaces do not achieve reforms and/or relevant proposals to strengthen democratic spaces.</t>
  </si>
  <si>
    <t>Inability of political actors (deputies, public officials, mayors, municipal councils, among others) to influence and lobby for the establishment/strengthening of democratic spaces.</t>
  </si>
  <si>
    <t xml:space="preserve">Accompaniment, training, follow-up and technical advice to political actors related to political advocacy. </t>
  </si>
  <si>
    <t>Civic actors do not influence policy decisions relevant to establishing/strengthening democratic spaces</t>
  </si>
  <si>
    <t xml:space="preserve">It is not possible to formulate public policies, initiatives, reforms, agendas or plans with the participation and support of civic actors. </t>
  </si>
  <si>
    <t xml:space="preserve">Support, facilitate and strengthen alliances between political and civic actors. _x000D_
- Provide technical assistance in tools and strategies for advocacy, lobbying and dialogue. </t>
  </si>
  <si>
    <t>A case of harassment, abuse, sexual exploitation in the intervention of the Program is presented.</t>
  </si>
  <si>
    <t xml:space="preserve">In face-to-face meetings implement the measures of social distancing, teleworking, developing interventions virtually and all the biosecurity measures granted by the World Health Organization (WHO)._x000D_
- Promote voluntary vaccination of NIMD Staff and project/program participants._x000D_
</t>
  </si>
  <si>
    <t xml:space="preserve">Fraud in the implementation of the Program </t>
  </si>
  <si>
    <t xml:space="preserve">NIMD Guatemala complies with the regulations of the Intendencia de Verificación Especial (IVE). NIMD Guatemala complies with the regulations of the Intendencia de Verificación Especial (IVE). _x000D_
-Internal fraud prevention and control regulations, manuals and policies that promote transparency in the use of funds. _x000D_
- NIMD does not grant funds at the request of the State or political parties. _x000D_
</t>
  </si>
  <si>
    <t>COVID pandemic continued in 2021 and will continue in 2022 this forces to maintain physical distance and virtual activities, which implies higher costs within the budget to support internet connection for students and participants, especially for people who live in rural areas and participate in activities</t>
  </si>
  <si>
    <t>Attacks or accusations due to approaches or topics in training activities and dialogues.</t>
  </si>
  <si>
    <t>Conservative and/or regressive actors and sectors criticize our interventions and the approaches used with respect to the fight against corruption and impunity, social auditing, the defense of women's rights, feminist positions and advocacy with respect to the LGBT+ population.</t>
  </si>
  <si>
    <t>Work in strategic alliance with other stakeholders, as well as maintain an even-handed communication in the face of signals and messages, avoiding provocations.</t>
  </si>
  <si>
    <t>Conservative and/or regressive actors and sectors criticize our interventions and the actors we strengthen, trying to show that this support is not allowed.</t>
  </si>
  <si>
    <t xml:space="preserve">Maintain updated records of technical and financial support provided to ABPC's prioritized actors: civil society organizations, political parties, the Congress of the Republic and the Supreme Electoral Tribunal. With the latter, NIMD Guatemala records and documents the support provided to political parties and has sent reports on this issue to the TSE. </t>
  </si>
  <si>
    <t xml:space="preserve">Political and civic actors do not participate and/or engage in virtual interventions organized/promoted by the Program. </t>
  </si>
  <si>
    <t>Due to the digital divide, participants are unaware of platforms, applications and have limited access to the internet. _x000D_
Risks are increased in departmental areas and reduced in cities. _x000D_
They do not own computers and through mobile devices they participate in training processes.</t>
  </si>
  <si>
    <t>-Technical sessions on the use of Zoom, Google Classroom and more._x000D_
-Provide participants with support (scholarship type) on the internet and facilitate their connection. _x000D_
- Elaborate political and economic analysis (PEA) at departmental level to know th</t>
  </si>
  <si>
    <t xml:space="preserve">Loss of information relevant to the Program </t>
  </si>
  <si>
    <t xml:space="preserve">NIMD projects and programs lose information on their computers about the implementation of activities. </t>
  </si>
  <si>
    <t>Request NIMD staff to save documents in One Drive._x000D_
-Periodically update the NIMDSYS Information System. _x000D_
-Back ups of NIMD Staff computers.</t>
  </si>
  <si>
    <t>Presence of hackers in the digital information system of NIMD Guatemala</t>
  </si>
  <si>
    <t>NIMD Staff uses computer backups</t>
  </si>
  <si>
    <t>Continuation of Congress' regressive agenda</t>
  </si>
  <si>
    <t xml:space="preserve">Mayors, deputies (as) and/or political actors with whom NIMD works are involved in corruption cases. _x000D_
</t>
  </si>
  <si>
    <t xml:space="preserve">When initiating coordination and interventions with public officials, summon more than one person , train on integrity and ensure compliance to code of conduct </t>
  </si>
  <si>
    <t xml:space="preserve">Visibility of cases of violence against journalists. _x000D_Public pronouncement in favor of freedom of the press._x000D_
</t>
  </si>
  <si>
    <t xml:space="preserve">Censorship of public opinion, independent media and journalists._x000D_
Criminalization of journalists _x000D_
Assault, murder, violence against journalists._x000D_
</t>
  </si>
  <si>
    <t>Assaults, murders, violence against defenders._x000D_
Criminalization of rights defenders.</t>
  </si>
  <si>
    <t>Give visibility of cases of violence against defenders._x000D_
Public statement in favor of human rights of defenders. Provide continued support to rights defenders</t>
  </si>
  <si>
    <t xml:space="preserve">Increased conflict in upcoming election years: 2021 (Honduras), 2023 (Guatemala), 2024 (El Salvador). </t>
  </si>
  <si>
    <t xml:space="preserve">A case of (sexual) harassment, abuse and/or exploitation is identified within the framework of the Program carried out by NIMD Staff, partners or target audience. </t>
  </si>
  <si>
    <t>Dissemintate, train and make staff, partners and target audience aware of the Code of Conduct and Gender Policy that NIMD has._x000D_
Train staff, partners and target audience on the steps to follow in case a case is identified. _x000D_
Activate the network of Confidential Councils that NIMD establishes. _x000D_
Follow up on the case.</t>
  </si>
  <si>
    <t xml:space="preserve">Spread of COVID-19 infection in the organisation </t>
  </si>
  <si>
    <t>Staff NIMD infected with COVID-19_x000D_ during face-to-face meetings or during programme events</t>
  </si>
  <si>
    <t xml:space="preserve">Fraud or misconduct is discovered in the implementation of the Program.  </t>
  </si>
  <si>
    <t xml:space="preserve">Working with COVID-19 causes additional costs </t>
  </si>
  <si>
    <t>Given budgetary constraints, the proposed interventions should be very realistic and limited in terms of the number of participants to be convened and the number of activities to be carried out._x000D_
Design and develop interventions of interest to participants to generate greater commitment in their digital attendance.</t>
  </si>
  <si>
    <t>Attacks or accusations by political and civic actors whom NIMD is strengthening and/or providing technical assistance.</t>
  </si>
  <si>
    <t xml:space="preserve">Hackers break into NIMD Guatemala's digital system. </t>
  </si>
  <si>
    <t xml:space="preserve">Establishing waiting rooms on platforms such as Zoom, Teams, FB live. Protect data with encryption. Securirty trainigs and awareness raising for staff_x000D_
 </t>
  </si>
  <si>
    <t>Staff do no file document correctly in One Drive</t>
  </si>
  <si>
    <t xml:space="preserve">Staff uses isolated folders to store files/documents so there are no backups in One Drive. </t>
  </si>
  <si>
    <t>Increase in violent armed clashed in targeted programmed areas</t>
  </si>
  <si>
    <t>Shrinking of civic space</t>
  </si>
  <si>
    <t xml:space="preserve">The closure of the Myanmar Office will mean all country staff will be unfortunately be terminated. Those who have an interest in continuing in any following temporary relocation initiatives will have to be extended a new job offer and resign a seperate contract with NIMD. </t>
  </si>
  <si>
    <t>Safety of staff members at risk due to military takeover and related insecurity</t>
  </si>
  <si>
    <t xml:space="preserve"> ICT infrastructure not optimal</t>
  </si>
  <si>
    <t>CEMI will Make extra efforts to contextualize its  interventions in order to consolidate and strenghen the democratic space</t>
  </si>
  <si>
    <t>the adoption of the new constitution concentrating all powers in one hand with the absence of the counterpowers negatively impact and weaken the presence/participation of the political parties in the political scene  
The concentration of all powers in the hands of a single person, following the developments mentioned above, risks leading to the locking-in of the political field, characterized by the disappearance of pluralism and counterpowers.</t>
  </si>
  <si>
    <t>1.1</t>
  </si>
  <si>
    <t>Following the appointment of the Royal Committee for Modernizing the Political System, which was tasked with proposing recommendations for reforming the political system with emphasis on promoting PP life and youth and women engaement, the government may request from NIMD Jordan to have a program to support PPs. This will be in contrast to the proposed plan for 2022 where NIMD will work with local CSO in four governorates.</t>
  </si>
  <si>
    <t>This is a better option for NIMD Jordan because it is more aligned with NIMD's mandate and strategic objectives. Of course, more discussions with the governmental counterparts will take place to reach an agreement.</t>
  </si>
  <si>
    <t>1.2</t>
  </si>
  <si>
    <t xml:space="preserve">Be agile and responsive to governments and try to come up with ideas that combine the new priorities with the long-term objectives for NIMD. </t>
  </si>
  <si>
    <t>1.3</t>
  </si>
  <si>
    <t>Jordan is always affected by any security and political tention in the MENA region, which lead to political tensions in the country resulting in extra measures by the government against  activisits and instituations supporting Human Rights and democracy . These restrictions could require NIMD to make changes to its program.</t>
  </si>
  <si>
    <t>NIMD to understand possible restrictions through discussions with the government and work around the new procedures by expanding its network and work through different channels. Also, expand the work with CSOs, especially on issues related to civic freedoms.</t>
  </si>
  <si>
    <t>1.4</t>
  </si>
  <si>
    <t>2.1</t>
  </si>
  <si>
    <t xml:space="preserve">Being careful in selecting the partners we work with based on assessment and reputation. Also, having clear procedures for partners on how they should work with NIMD based on the rule of good governance and transparency. </t>
  </si>
  <si>
    <t xml:space="preserve">Having a clear guidance regarding communications, and previous agreement on common objectives. 
</t>
  </si>
  <si>
    <t>4.1</t>
  </si>
  <si>
    <t>Having different external storage devices, and having NIMD HQ to deliver an online portal for all sites to use.</t>
  </si>
  <si>
    <t>4.2</t>
  </si>
  <si>
    <t>Find alternative ways to connect</t>
  </si>
  <si>
    <t xml:space="preserve">It is possible that the political authorities shut down the internet connexion. This was the case in December 2021. </t>
  </si>
  <si>
    <t>Loss of internet access</t>
  </si>
  <si>
    <t>3.4</t>
  </si>
  <si>
    <t>3.3</t>
  </si>
  <si>
    <t>3.2</t>
  </si>
  <si>
    <t>Offices establish contact with trusted lawyer/auditor and budget for adequate advice. The office in Burkina Faso works also with a tax consultant, in order to avoid contradiction with the legislation of the country.</t>
  </si>
  <si>
    <t xml:space="preserve">Office monitor the context and maintain contact with the headquarters in the Hague, INGO, local CSOs and polical parties. Keep embassies informed. Maintain non-partisan approach.                             </t>
  </si>
  <si>
    <t xml:space="preserve">Closure of democratic space  </t>
  </si>
  <si>
    <t>COVID-19 pandemic strikes again</t>
  </si>
  <si>
    <t>Actions from implementing partners might compromise NIMD mandate and mission, or allegations of partisanship by any side of the poltiical spectrum</t>
  </si>
  <si>
    <t>Reputational damage by working with implementing partners</t>
  </si>
  <si>
    <t xml:space="preserve">NIMD Uganda will continue to fundraise and as we fundraise focus is on going to be on supporting critical staff positions in the organization. </t>
  </si>
  <si>
    <t xml:space="preserve">Having for now to rely on mainly the POD funding after the closure of DGF will have an impact on the number of staff that can be supported. This could have an impact on quality of the work being done. </t>
  </si>
  <si>
    <t>Limited number of staff affecting the ability to take on critical roles ,like communication</t>
  </si>
  <si>
    <t xml:space="preserve">NIMD Uganda is putting together a local fundraising strategy to ensure that the gaps in funding are ably covered. Efforts to reach out the embassies that have been supporting the DGF are initiated. In addition the main funding is allocated strategically to support activities with a leveraging potential. </t>
  </si>
  <si>
    <t xml:space="preserve">The current POD program has only limited funds. The supplementary funding [reviously given by DGF has ceased with no successor programme known. This means NIMD cannot continue with its programming on direct political party capacity strengthening support. Other programming objectives are being included as alternatives but all would need futher scaling up and with an uncertain outlook on governance support this will be difficult to obtain. </t>
  </si>
  <si>
    <t>Lack of support by international community after closure of DGF</t>
  </si>
  <si>
    <t xml:space="preserve">NIMD will continue to invest in relations and network with all key poltiical actors. The longstanding relations and trust placed in the organization will be put forward to ensure NIMD can continue to support dialogue and support to political actors </t>
  </si>
  <si>
    <t xml:space="preserve">When NIMD no longer acts as secretariat for IPOD there is a risk that especially the ruling parties will be less inclined to collaborate with NIMD. </t>
  </si>
  <si>
    <t xml:space="preserve">A declination to participate in alternative dialogue processes by the political actors, especially the governing parties. </t>
  </si>
  <si>
    <t xml:space="preserve">In order to counter the potentiality of Government seeking to instrumentalise the IPOD platform, NIMD Uganda will continue engaging with the ruling party on the importance of a neutrality and the perception of independence if the dialogue platform is to contribute to peaceful co-existence. NIMD will also explore possibilities of engaging all key political stakeholders through multistakeholder dialgogues and continue to build on relations and collaborationn. </t>
  </si>
  <si>
    <t xml:space="preserve">Fear that Government could use the opportuntiy of NIMD stepping out of IPOD to instrumentalize the IPOD Platform.  A number of IPOD summit resolutions remain unfulfilled to date and even those that are realised, are in a manner that favours the ruling party. For instance the increased public funding to political parties being allocated in accordance with numerical strength in Parliament, contrary to what had been agreed upon in the summit. This situation could worsen with NIMD stepping down as the host of the  secretariat and thereby creating a less favourable environment to support any democratzation and work with poltiical actors. </t>
  </si>
  <si>
    <t>The Government or NRM could  instrumentalise the IPOD dialogue platform for its political interests and further puts pressure on interparty relations</t>
  </si>
  <si>
    <t xml:space="preserve"> In 2023 NIMD and AMwA will focus on stregthening Multi-stakeholder dialogue and Political actors Dialogues as way of engaging with broad and inclusive political and civic actors.  NIMD will continue to engage in diplomancy and reach out to members of the governing and dissenting political parties to participate in dialogue even if this is outside of IPOD. </t>
  </si>
  <si>
    <r>
      <t xml:space="preserve">NUP (National Unity Platform ) UPC and FDC have declined to join IPOD citing a number of reasons ranging from how the platform seems to serve only the interests of the current regime. </t>
    </r>
    <r>
      <rPr>
        <sz val="10"/>
        <color theme="1"/>
        <rFont val="Calibri"/>
        <family val="2"/>
        <scheme val="minor"/>
      </rPr>
      <t xml:space="preserve">The Refusal of NUP to Join IPOD compromises the values of NIMD and Integrity of Dialogue,and as a result NIMD can no logner support IPOD as secretariat. NIMD's decline to host IPOD Secretariate could severe our relationship with political parties but also lead to loss of the gain made over years. </t>
    </r>
    <r>
      <rPr>
        <sz val="10"/>
        <rFont val="Calibri"/>
        <family val="2"/>
        <scheme val="minor"/>
      </rPr>
      <t xml:space="preserve">It is also possible that the whole of IPOD is dissolved creating a void in a joint platform for political actors to engage in dialogue. </t>
    </r>
  </si>
  <si>
    <t>Cessation of the IPOD dialogue platform after NIMD steps down as secretariat</t>
  </si>
  <si>
    <t>NIMD Uganda and AMwA will continue intensifying efforts to have a multistakeholder dialogue to discuss the shrinking civic space and enhance the relationship and trust between the civic actors and political actors.  NIMD and AMWA commit to non partisan approaches in delivery of the work and mandate in Uganda.</t>
  </si>
  <si>
    <r>
      <t xml:space="preserve">The Civic Space continue to shrink in Uganda for both civic actors and political actors . </t>
    </r>
    <r>
      <rPr>
        <sz val="10"/>
        <color theme="1"/>
        <rFont val="Calibri"/>
        <family val="2"/>
        <scheme val="minor"/>
      </rPr>
      <t>2022 has seen the government increase efforts to curtail freedom of expression with amendment of the computer misuse act to include control and monitoring of social media. the shrinking civic space has seen increased despondency and apathy amongst the CSOs in Uganda</t>
    </r>
  </si>
  <si>
    <r>
      <t>NIMD Uganda and AMwA shall in a transparent manner continue engaging with the NGO bureau, Government and other state and non state actors to highlight its work and the impartial manner in which it is done.                                                                                                            NIMD Uganda and AMwA will ensure that they adhere to the Governance and statutory requirements of t</t>
    </r>
    <r>
      <rPr>
        <sz val="10"/>
        <color theme="1"/>
        <rFont val="Calibri"/>
        <family val="2"/>
        <scheme val="minor"/>
      </rPr>
      <t xml:space="preserve">he NGO bureau such as periodic filing of returns.  Under the POD NIMD and AMWA  will support local partners on awareness creation on  compliance guidlines to ensure that POD partners are complaint with the NGO laws and policies. </t>
    </r>
  </si>
  <si>
    <r>
      <t xml:space="preserve">The Non Government Organisations Bureau continues to enforce the NGO Act(2015) in a manner that constrains the free operations of NGOs. </t>
    </r>
    <r>
      <rPr>
        <sz val="10"/>
        <color theme="1"/>
        <rFont val="Calibri"/>
        <family val="2"/>
        <scheme val="minor"/>
      </rPr>
      <t xml:space="preserve">(the NGOs that were closed in 2021 have not been opened.  The process of getting Operating lincence for NGOs has been tighted with increased involvment of security in the lincencing process.  Because of this trend there is increasing despondency amongst development partners to fund the governance related actions and more funds are being directed towards service delivery. </t>
    </r>
    <r>
      <rPr>
        <sz val="10"/>
        <color rgb="FFFF0000"/>
        <rFont val="Calibri"/>
        <family val="2"/>
        <scheme val="minor"/>
      </rPr>
      <t xml:space="preserve">                                                                                                      </t>
    </r>
  </si>
  <si>
    <t xml:space="preserve">A more restrictive NGO regulatory environment </t>
  </si>
  <si>
    <t>as much as possible organize offline events for important capacity building, networking and trust building</t>
  </si>
  <si>
    <t xml:space="preserve">Establish and maintain wide range of networks and good reputation among political actors </t>
  </si>
  <si>
    <t xml:space="preserve"> increased instability</t>
  </si>
  <si>
    <t>keep to COVID measures in-country, wear masks as relevant and make sure that sufficient sanitation is provided</t>
  </si>
  <si>
    <t>There are no major ristricitions at country level</t>
  </si>
  <si>
    <t>To mitigate this risk a Privacy Policy will be put in place</t>
  </si>
  <si>
    <t xml:space="preserve">With theenactment of l Data Protection Act, 2019. and the establishment of Data Protection Commissioner, there is a risk of having a privacy breach. </t>
  </si>
  <si>
    <t>Data Privacy</t>
  </si>
  <si>
    <t>There is the risk of increased government surveillance even after the elections.</t>
  </si>
  <si>
    <t>The pandemic may constrain the effectiveness that comes with physical interactions. Poses direct threat to staff safety and may prevent programme partners from travelling for coordination and planning purposes.</t>
  </si>
  <si>
    <t>*Continued use of hybrid meetings to the best extent possible.</t>
  </si>
  <si>
    <t xml:space="preserve">Demands for accountability and transparency in the undertaking of their mandate and on-going litigation on some of the cases already in court is met with hostility. </t>
  </si>
  <si>
    <t>Candidates with questionable integrity holding key position at both legislative and executive level.</t>
  </si>
  <si>
    <t xml:space="preserve">Ensuring that our social media platforms are verified </t>
  </si>
  <si>
    <t>severe</t>
  </si>
  <si>
    <t xml:space="preserve">There has been an icrease in misinformation and fake news, considering that we deal with Parliamentarians, there is a risk of of social media platforms being cloned to spread fake news. </t>
  </si>
  <si>
    <t xml:space="preserve">Misiniformation and Fake News </t>
  </si>
  <si>
    <t xml:space="preserve">Polarised parliament due to political realignments and exit of key contacts from office due to the change of administration. There is also a likelihool of stalemates and walkouts by the opposition. </t>
  </si>
  <si>
    <t xml:space="preserve">The residual impacts of the electoral process and the divisions brought about by the citizens continues to be felt especially in the performance of the legislative and executive agenda.  </t>
  </si>
  <si>
    <t>A divisive political environment</t>
  </si>
  <si>
    <t>*Commitment to non-partisanship while advocating to secure civic space.</t>
  </si>
  <si>
    <t>With a new government in place and politicians with questionable integrity elected into office, accountability work becomes subject to backlash.</t>
  </si>
  <si>
    <t>Shrinking civic space</t>
  </si>
  <si>
    <t>*Continued use of hybrid meetings switching use in accordance with government measures: Compliance with Government rapid mass vaccination programme.</t>
  </si>
  <si>
    <t xml:space="preserve"> Description </t>
  </si>
  <si>
    <t>Terrorism</t>
  </si>
  <si>
    <t>The instability in the north of the country, specifically in the provinces of Cabo Delgado and Nampula, could jeopardize the implementation of some interventions in these provinces and in others in the North such as Niassa, if the current scenario prevails or spreads.</t>
  </si>
  <si>
    <t>Health protocols have been updated to respond to the epidemiological context. Currently, most of the severely restrictive protocols have been lifted due to the stabilization of epidemiological indicators. However, the situation may change depending on the evolution/stabilization of the epidemic.</t>
  </si>
  <si>
    <t>Alternation of power in the leadership and in the leagues of political parties</t>
  </si>
  <si>
    <t>Political parties, more interested in their internal restructuring, in particular the opposition due to the death of their leaders and less available to discuss political matters in terms of women's inclusion and participation.</t>
  </si>
  <si>
    <t xml:space="preserve">  of gender in the processes</t>
  </si>
  <si>
    <t>Little commitment of women in the search for greater inclusion and participation</t>
  </si>
  <si>
    <t>Political parties, more interested in their internal restructuring, in particular opposition to the death of their leaders and less willing to discuss political issues in terms of women's inclusion and participation.</t>
  </si>
  <si>
    <t>Mitigare</t>
  </si>
  <si>
    <t xml:space="preserve">Engage the leadership of women’s leagues of political parties and political parties to make them engage their members. </t>
  </si>
  <si>
    <t>2.2</t>
  </si>
  <si>
    <t>Diplomatic community focused on the conflict (Russia – Ukraine).</t>
  </si>
  <si>
    <t>Due to the war between Russia and Ukraine, some Western governments with diplomatic representation in Mozambique may be more concerned with resolving or mitigating the effects of the conflict in their countries.</t>
  </si>
  <si>
    <t>Maintain a permanent approach/advocacy with diplomatic actors, making them aware of the advantages of their involvement in the PoD program agenda.</t>
  </si>
  <si>
    <t>2.3</t>
  </si>
  <si>
    <t>2.4</t>
  </si>
  <si>
    <t>Little availability of political actors to participate in the Program's interventions due to their inter-political activities, given that 2023 is an election year.</t>
  </si>
  <si>
    <t>Due to the preparations for the electoral campaign, political actors may be more engaged in the electoral race and less available for the Program's interventions.</t>
  </si>
  <si>
    <t>1. Plan together with the political actors of the PoD Program</t>
  </si>
  <si>
    <t>2. Carry out a greater number of interventions in the first semester, preferably before the Electoral Campaign.</t>
  </si>
  <si>
    <t>3.1</t>
  </si>
  <si>
    <t>1. Ensure that all staff members have and know the procedures manual and practice.</t>
  </si>
  <si>
    <t>2. Hold internal meetings to raise awareness of good programmatic and financial management practices.</t>
  </si>
  <si>
    <t>3. Sanction those who have corrupt behaviors, as a way to prevent other staff members from also misbehaving in the management process.</t>
  </si>
  <si>
    <t xml:space="preserve">Social media activity is low-profile to non-existent considering the current volatility of the political situation especially amongst online spheres. There has not been any serious breaches of information, but rumouring does happen amongst participants and parties. The impact of this is combatted through selective information sharing and responsiveness only when completely necessary (to prevent magnification of attention). </t>
  </si>
  <si>
    <t xml:space="preserve">Team has discussed extensivley which platofrms to communicate through, when, and how. Consultants working in Thailand also use a VPN when it is appropriate. Staff signed code of conduct on the usage of social media and IT material. Sensitive information not to be talked over via the phone or the internet and if there is no other choice, codewords will be used. If necessary regular change of phone numbers and simcards. Usage of VPN by staff is recommended when dealing with sensitive information. </t>
  </si>
  <si>
    <t xml:space="preserve">Risk computer systems, social media accounts, or MyDemocracy School app created by NIMD Myanmar gets breached, exposing alumni and employee data and work documents. </t>
  </si>
  <si>
    <t>Digital security and data breaches</t>
  </si>
  <si>
    <t xml:space="preserve">Assigned and hired an ICT support team based in Myanamr to train and support participants in digital literacy/security. A digital safety and security presentation is given at the beginning of each activity/training event in order to onboard participants to the virtual setting and ensure their understanding of the basic protocols ot follow. Additionally, staff will undergo a virtual facilitation course to support staff in online dialogue process. </t>
  </si>
  <si>
    <t xml:space="preserve">Provide participants with VPN services, which they may turn on/off at their own convenience and discretion. Provide participants with simcards and offline materials in case internet is cut off. </t>
  </si>
  <si>
    <t>Cuts in internet accesibility widespread since the coup. Less than optimal ICT structure may impede smooth functionality of the programme. Phone service providers are increasingly controlled by SAC affiliates.</t>
  </si>
  <si>
    <t xml:space="preserve">The team now has a physical working space available in Bangkok and most team members meet there regularly. Country Director flies in from the Netherlands reguarly for extended periods. A private office will be rented after registration. TSafety and security procedures for those travelling to Myanamr have been put in place. Constant monitoring of situation and continuous communication mandatory when travelling to conflict affected areas (for example Signal groups are made for each activity to report on location and activities). </t>
  </si>
  <si>
    <t xml:space="preserve">Approximately half of the old team has relocated to Thailand on consultant contracts. Some staff members have shown signs of overload and these signs should be taken seriously and psycho social support providers sought out to be available for the staff when needed. Contracts to be reviewed and revised to allow for ample rest between the intese implementation of activities (holidays, leave days, etc. need to be considered in the new context). </t>
  </si>
  <si>
    <t>Finance and HR manual to be created. Strict Standard Operating Procedures (SOP) have been formed and are in place to prevent fraud and corruption. Additionally, all staff signed a code of conduct and a provision has been included in staff contracts. MySoP works with a 4-eyes principle with signing of financial documents and expenditure.</t>
  </si>
  <si>
    <t xml:space="preserve">Adapt programming to target individual political actors, in contrast to targeting participants through political parties. Continuous assessment of  the political context and possible consequences and adaptations for our programming. Scenario planning, for each scenario that may follow the election, which will be laid out and determined what type of interventions are feasible to implement. Flexible programming based on the needs and feedback from political actors. </t>
  </si>
  <si>
    <t xml:space="preserve">Politicians and political actors (especially political parties) are under pressure to participate  in the SAC-organized elections. The public perception of these elections are that they cannot be free or fair, and are only being organized to solidify the junta's power grip in the eyes of international actors. As we appraoch the election period in Aug. 2023, Politicians and political actors may feel increasingly unsafe or the political tension between them may become higher. Trust between political actors may deteriorate as some may be forced to give in to pressure from either the public  or the SAC . </t>
  </si>
  <si>
    <t>Events and results around  the anticipated 2023 SAC-organized elections incite further political chaos</t>
  </si>
  <si>
    <t xml:space="preserve">A lot of preparatory work following the named mitigation steps were done prior to Democracy School and for these reasons the Schoool was effective.Also, in order to mitigate the potential impact of suspicious attitudes within trainings, the democracy school trainings have been organized in 2 batches per module with consideration to the sensitivity around specific political leanings. Trust-building exercises will be facilitated with sensitivity of the political situation in mind. Great emphasis will be placed on getting feedback from participants about their comfort and safety while participanting in activities. NIMD Myanmar will take care to carry out a thorough vetting process prior to holding any sort of interactive session to ensure that participants will be able to engage in dialogue with others in a safe and peacful setting.  Any service providers or independent contractors involved in the process will be made to sign confidentiality agreements. </t>
  </si>
  <si>
    <t xml:space="preserve">Politicians and political actors from every side of the conflict are faced with numurous discouraging safety and security risks. These may be compounded in the current political climate if participants choose to take part in certain in-person or online activities that require disclosing personal information to build trust.  In addition to this, the level of trust between our key stakeholders may be different than times prior to the coup, which would create a volatile environment for cooperation and dialogue between them. Considering the widespreadness of social media campaigns like "Social punishment" of people who show any connection to or support for the military, it can be assumed that is no middle ground and very little trust in political and social spheres of Myanmar society, which in turn could make efforts for dialogue and cooperation on other issues more difficult.  Detention of a participant due to claims by other political actors is still a possibility that cannot be ruled out. </t>
  </si>
  <si>
    <t xml:space="preserve"> Continued engagement with political actors and alumni especially in preparation of the democracy school and during it has shown that NIMD Myanmar's reputation is still highly trusted and the trainigs valued. However, some potential participants might still have difficulties with access to training activities and for this purpose the MyDemocracy School app is being created. Continued and ongoing needs assessmnet with relevant stakeholders to ensure relevance and effectiveness  of programming.  Communication strategies in place to effectively disseminate our messages and programme. </t>
  </si>
  <si>
    <t xml:space="preserve">Adapt target groups to bring in individual political actors rather than targeting participants who are members of registered political parties. NIMD Myanmar will continue to reassess target audiences for any future program initiatives, prioritizing safety and security of participants. Direct physical outreach and congregation will be subject to harsher scrutiny-- therefore, it is imperative that we explore alternative channels for fostering communities that harbor democratic culture, especially digital/virtual safe spaces and learning hubs which can be accessed both online and offline. </t>
  </si>
  <si>
    <t>There is minimal space between recognizing and legitimizing the new authorities and the pseudo-democratic process they have announced to launch, and endangering the political parties, cooperation partners and civil society, that we may be able to reach directly without any involvement of the governing authorities. Any support to the Civil Disobedience Movement, which has society-wide backing and essentially comprises anyone we would want to work with, is considered a serious crime, and if provided internationally, as criminal interference from a foreign agent. A recent announcement by the junta-backed  election commision (UEC) specifically bars political parties from interacting freely with international CSOs/NGOs/organizations.</t>
  </si>
  <si>
    <t xml:space="preserve">Undertake necessary precautions to prevent the contraction and spread of COVID-19 as advised by the WHO.  Conduct research and remain updated on regional COVID-19 restrictions via trusted news sources and international health organization. NIMD plans meetings/activities that are in-line with local COVID-19 safety regulations. </t>
  </si>
  <si>
    <t xml:space="preserve">Although the population has been adequetly vaccinated, COVID is very much still a pressing reality-- vaccine hesitancy and a militarized healthcare system means that COVID is still potentially fatal for those who cannot seek the propoer care. COVID cases can still affect travel on a case-by-case basis. </t>
  </si>
  <si>
    <t xml:space="preserve">NIMD Myanmar will continue to monitor decrees made by the SAC to navigate restrictive measures accordingly. NIMD Myanmar operates from a regional office which will be registered in Thailand, a country known to be a hub for international NGOs carrying out programmes for target groups in Myanmar. NIMD Myanmar continuously assesses the safety and security implications of specific target groups and regions and adapts accordingly to mitigate any intentional or untintentional provocation of unwanted actors. Remain in close contact with Myanmar-focused NGOs in Thailand, and aims to improve information sharing amongst this network of like-minded CSOs.NIMD Myanmar will continue to nurture virtual safe spaces for actors to engage through training and discussion sessions which adhere to a consistent and reliable safety and security protocol; e.g. zoom code entry systems and settings configured to prioritize individual pariticpant privacy while also fostering a sense of safety for others </t>
  </si>
  <si>
    <t xml:space="preserve">The operating space for civil society and political parties continues to shrinkIn Myanmar, especially amongst civic actors that engage with political parties and democratic institutions. International organizations tthat continue to have a presence in the country are increasingly pressured to take a stance on the political situation. </t>
  </si>
  <si>
    <t xml:space="preserve">Now that in-person trainings have and can continue to take place, travel arrangements need to be carefully planned for each participant based on their individual safety/security situations. NIMD Myanmar continues to work on the basis of careful and frequent political and security analysis, especially examining factors that may affect the participants' abilities to attend in-person and online activities.  If necessary, planned activities will be postponed or reprogrammed. NIMD Myanmar gives security briefs to participants prior to every event that goes over the procedures that may mitigate safety and security risks. For online participants, NIMD Myanmar provides resources to participants ahead of actvities that may help them overcome common technical issues in conflict-ridden regions such as powerbanks to charge devices through power cuts and follow up lecture materials delivered through secure channels for them to review in their own time. </t>
  </si>
  <si>
    <t xml:space="preserve">Continuous assessment of  the political context and possible consequences and adaptations for our programming. Scenario planning, for each scenario laid out and determined what type of interventions are feasible to implement. Flexible programming based on a phased and programmatic approach. continued scouting for possibilities combined with careful risk assessment &amp; mitigation. The team has been following closely the political context developments and putting together a bi-weekly news brief. Critical factors like possibility of some political parties baing dismantled or named terrorist organizations has been closely monitoried. Thus far there has not been such factors, which would have fully prevented our work.  The forthcoming SAC organized elections are currently a significant topic of interest amongst smaller ethnic political parties,  and NIMD Myanmar is continuing to adopt an impartial approach to diverse viewpoints  while taking a stance against undemocratic actors. </t>
  </si>
  <si>
    <t xml:space="preserve">Volatility of security and political context. </t>
  </si>
  <si>
    <t xml:space="preserve">Design interventions that respond to the interests of the participants, as well as taking into account the PEA.
- Periodic monitoring and accompaniment of the participants. 
-Support to participants by providing Internet for connection to virtual activities.                                                                                                                                                                                                                    Search for alternative actors or those interested in participating in training or dialogue processes. Work with interested actors                                                                                                                                                                                                                                                                                                                                                                                                                                                     </t>
  </si>
  <si>
    <t xml:space="preserve">Promote a non-aggression pact between political parties. 
Mass communication campaigns on democratic values
Sensitization of political parties through training processes. (GRIP implementation will be analyzed to begin in 2024 due political contexts).                                                                                                       Include us in collaborative spaces and articulations to support the electoral process (for example, observatories).
</t>
  </si>
  <si>
    <t xml:space="preserve">To create protocols and Actions Plans before natural disasters happen. Most of this occurs in second semester so to prepare annual strategies. Also to train the staff and target audiences about the protocols. </t>
  </si>
  <si>
    <t>Central america is heavily affected by hurricanes and other natural disasters which affects the wellbeing of the people we work to the point that we have had to suspend processes due to the national emergency.</t>
  </si>
  <si>
    <t>Natural Disasters</t>
  </si>
  <si>
    <t>Periodic analysis context between regional NIMD offices to create an Action Plan
Linkage to non-governmental organization coordination spaces</t>
  </si>
  <si>
    <t xml:space="preserve">Current in Guatemala and one drafted in El Salvador, As this may close the civic space for us but also for the organizations we work with. </t>
  </si>
  <si>
    <t>NGO Law</t>
  </si>
  <si>
    <t xml:space="preserve">Empowerment and strengthening of civil society (through technical assistance, training, politicization and dialogue).
Strengthening of minority parliamentary groups in Congress.
Establish alliances between deputies that promote democratic agendas with civil society. 
Continue to promote/establish spaces for dialogue and trust with deputies Support containment initiatives  
Communication strategy for contention.                                                                                                                                                                                                                                                                         </t>
  </si>
  <si>
    <t xml:space="preserve">Reforms to laws that set back democracy in the country (NGO's Law in force in Guatemala, also if a regressive reform of the Electoral and Political Parties Law is approved).
Law initiatives that close democratic spaces.
Reelection of Board of Directors 2023 composed of corrupt deputies. 
</t>
  </si>
  <si>
    <t>NGO law
Watchlist - prosecutors - civicus</t>
  </si>
  <si>
    <t>Executive Director</t>
  </si>
  <si>
    <t>From 2023 onwards</t>
  </si>
  <si>
    <t>NIMD continues to apply to new opportunities and establish lobbying strategies and dialogues with potential international funders to give continuity to our mission in Colombia and maintain the necessary staff for the implementation of activities.</t>
  </si>
  <si>
    <t>NIMD Colombia is finalizing some of its projects funded by others, and applying for new opportunities but it is possible that grants will not be awarded to continue with its mission of strengthening democracy.</t>
  </si>
  <si>
    <t>NIMD Colombia fails to secure funding for new projects</t>
  </si>
  <si>
    <t>Dialogue Specialist</t>
  </si>
  <si>
    <t>During 2022 and 2023</t>
  </si>
  <si>
    <t>NIMD will continue to assist the subnational elected bodies and relevant government agencies through different activities and scenarios to comply with the target, focusing with the candidates and youth leaders.</t>
  </si>
  <si>
    <t>The electoral priorities of political parties are constantly changing and they do not prioritize technical assistance of their candidates.</t>
  </si>
  <si>
    <t>The following elections (2023) may change the political priorities of the political parties.</t>
  </si>
  <si>
    <t>NIMD continues to provide technical assistance to the Congress. And, it will continue to build relationships to promote the political reform in the upcoming year.</t>
  </si>
  <si>
    <t>A new Congress has been installed and actions to work with them are being worked out.</t>
  </si>
  <si>
    <t>The Congress has no interest in promoting political reform processes</t>
  </si>
  <si>
    <t>Programme &amp; Project</t>
  </si>
  <si>
    <t>Operational (Programmatic)</t>
  </si>
  <si>
    <t>From the begining of the program onwards</t>
  </si>
  <si>
    <t>NIMD promotes very strict criteria for team selection and with rigorous financial and administrative processes and adequate chain of supervision for every process. A consultancy with Transparency International was implemented to increase integrity standards.</t>
  </si>
  <si>
    <t>NIMD''s team gets involved in ill-intentioned processes in exchange of bribes</t>
  </si>
  <si>
    <t>Procurement processes are ill-intentioned to benefit third parties</t>
  </si>
  <si>
    <t>3.5</t>
  </si>
  <si>
    <t>Senior Program Officer
Confidential Counsellor</t>
  </si>
  <si>
    <t>NIMD has an integrity policy and an anti-harrasment policy  which are part of labour contracts for staff, services contracts for consultants and providers, terms of reference for interventions, and will be included in MoUs. The Confidential Counselor is the focal point to manage this situations.</t>
  </si>
  <si>
    <t>During activities, NIMD staff, partners and/or beneficiares are sexual harrased or harras co-workers, partners and/or beneficiaries</t>
  </si>
  <si>
    <t>Sexual harrasment by co-workers, partners an/or beneficiaries</t>
  </si>
  <si>
    <t>NIMD have drafted ToR to quickly launch new recruitment processes and have enough staff to support activities while vacancies are filled.</t>
  </si>
  <si>
    <t>NIMD's team resigns due to external incentives or personal reasons</t>
  </si>
  <si>
    <t>Human Resources</t>
  </si>
  <si>
    <t>From January 2021 to December 2025</t>
  </si>
  <si>
    <t>Safety &amp; Security</t>
  </si>
  <si>
    <t>NIMD works through Memorandums of Understanding and/or contracts with local partners. These documents set out how joint decisions are made and the legal tools to solve problems</t>
  </si>
  <si>
    <t>Decisions and actions of local partners on joint initiatives are developed without reaching an agreement with NIMD, and are perjudicial to our beneficiaries and prioritzed actors, tainting NIMD organisational reputation</t>
  </si>
  <si>
    <t>Local partners affects NIMD Colombia organisational reputation</t>
  </si>
  <si>
    <t>Organisational</t>
  </si>
  <si>
    <t>All joint ventures has governance structure and checks and balances which allows them mutual supervision on how processes are complied to ensure a proper funds management</t>
  </si>
  <si>
    <t>Poor financial management by main aplicants on joint ventures results in financial loss due unelegible expenditure</t>
  </si>
  <si>
    <t>Unelegible costs due partners funds mismanagement</t>
  </si>
  <si>
    <t>Financial</t>
  </si>
  <si>
    <t>NIMD created a stakeholder alliance in 2021 with OSC and international cooperation. In the last year, the efforts to ensure the CNID fell short and its being reeestructured.</t>
  </si>
  <si>
    <t>Local partners left the CNID because there were other activities prioritized, however NIMD reestructured the space and found other organizations to establish the Network under a different name</t>
  </si>
  <si>
    <t>The allies of the Colombian Network for Innovating Democracy fail to keep their commitment</t>
  </si>
  <si>
    <t>Leadership (Governance)</t>
  </si>
  <si>
    <t>Who</t>
  </si>
  <si>
    <t>When</t>
  </si>
  <si>
    <t>Actions to Minimise Risk</t>
  </si>
  <si>
    <t>Fraud &amp; Corruption</t>
  </si>
  <si>
    <t>Fundraising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</si>
</sst>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0_-;\-&quot;$&quot;* #,##0_-;_-&quot;$&quot;* &quot;-&quot;??_-;_-@_-"/>
    <numFmt numFmtId="165" formatCode="_-* #,##0.00\ &quot;€&quot;_-;\-* #,##0.00\ &quot;€&quot;_-;_-* &quot;-&quot;??\ &quot;€&quot;_-;_-@_-"/>
  </numFmts>
  <fonts count="16" x14ac:knownFonts="1">
    <font>
      <sz val="11"/>
      <color theme="1"/>
      <name val="Calibri"/>
      <family val="2"/>
      <scheme val="minor"/>
    </font>
    <font>
      <sz val="11"/>
      <color theme="1"/>
      <name val="Calibri"/>
      <family val="2"/>
      <scheme val="minor"/>
    </font>
    <font>
      <b/>
      <sz val="11"/>
      <name val="Arial"/>
      <family val="2"/>
    </font>
    <font>
      <b/>
      <sz val="10"/>
      <color theme="0"/>
      <name val="Arial"/>
      <family val="2"/>
    </font>
    <font>
      <sz val="10"/>
      <name val="Arial"/>
      <family val="2"/>
    </font>
    <font>
      <sz val="10"/>
      <color theme="0"/>
      <name val="Arial"/>
      <family val="2"/>
    </font>
    <font>
      <sz val="10"/>
      <color theme="0"/>
      <name val="Arial Narrow"/>
      <family val="2"/>
    </font>
    <font>
      <b/>
      <sz val="10"/>
      <color theme="0"/>
      <name val="Calibri"/>
      <family val="2"/>
      <scheme val="minor"/>
    </font>
    <font>
      <b/>
      <sz val="10"/>
      <name val="Calibri"/>
      <family val="2"/>
      <scheme val="minor"/>
    </font>
    <font>
      <sz val="10"/>
      <name val="Calibri"/>
      <family val="2"/>
      <scheme val="minor"/>
    </font>
    <font>
      <sz val="10"/>
      <color theme="1"/>
      <name val="Calibri"/>
      <family val="2"/>
      <scheme val="minor"/>
    </font>
    <font>
      <b/>
      <sz val="10"/>
      <name val="Calibri"/>
      <family val="2"/>
    </font>
    <font>
      <sz val="10"/>
      <color rgb="FFFF0000"/>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s>
  <fills count="18">
    <fill>
      <patternFill patternType="none"/>
    </fill>
    <fill>
      <patternFill patternType="gray125"/>
    </fill>
    <fill>
      <patternFill patternType="solid">
        <fgColor theme="1"/>
        <bgColor indexed="64"/>
      </patternFill>
    </fill>
    <fill>
      <patternFill patternType="solid">
        <fgColor indexed="9"/>
        <bgColor indexed="64"/>
      </patternFill>
    </fill>
    <fill>
      <patternFill patternType="solid">
        <fgColor theme="4" tint="0.59999389629810485"/>
        <bgColor indexed="64"/>
      </patternFill>
    </fill>
    <fill>
      <patternFill patternType="solid">
        <fgColor theme="4" tint="0.79998168889431442"/>
        <bgColor theme="4" tint="0.79998168889431442"/>
      </patternFill>
    </fill>
    <fill>
      <patternFill patternType="solid">
        <fgColor theme="7"/>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FFFF"/>
        <bgColor rgb="FF000000"/>
      </patternFill>
    </fill>
    <fill>
      <patternFill patternType="solid">
        <fgColor rgb="FF000000"/>
        <bgColor indexed="64"/>
      </patternFill>
    </fill>
    <fill>
      <patternFill patternType="solid">
        <fgColor rgb="FFBDD7EE"/>
        <bgColor indexed="64"/>
      </patternFill>
    </fill>
    <fill>
      <patternFill patternType="solid">
        <fgColor rgb="FFFFFFFF"/>
        <bgColor indexed="64"/>
      </patternFill>
    </fill>
    <fill>
      <patternFill patternType="solid">
        <fgColor rgb="FFFFD966"/>
        <bgColor indexed="64"/>
      </patternFill>
    </fill>
    <fill>
      <patternFill patternType="solid">
        <fgColor rgb="FFF4B084"/>
        <bgColor indexed="64"/>
      </patternFill>
    </fill>
    <fill>
      <patternFill patternType="solid">
        <fgColor rgb="FFA9D08E"/>
        <bgColor indexed="64"/>
      </patternFill>
    </fill>
    <fill>
      <patternFill patternType="solid">
        <fgColor theme="6"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165" fontId="1" fillId="0" borderId="0" applyFont="0" applyFill="0" applyBorder="0" applyAlignment="0" applyProtection="0"/>
  </cellStyleXfs>
  <cellXfs count="95">
    <xf numFmtId="0" fontId="0" fillId="0" borderId="0" xfId="0"/>
    <xf numFmtId="0" fontId="2" fillId="0" borderId="0" xfId="0" applyFont="1"/>
    <xf numFmtId="0" fontId="4" fillId="0" borderId="0" xfId="0" applyFont="1"/>
    <xf numFmtId="0" fontId="6" fillId="3" borderId="0" xfId="0" applyFont="1" applyFill="1"/>
    <xf numFmtId="0" fontId="5" fillId="3" borderId="0" xfId="0" applyFont="1" applyFill="1"/>
    <xf numFmtId="0" fontId="4" fillId="0" borderId="4" xfId="0" applyFont="1" applyBorder="1"/>
    <xf numFmtId="0" fontId="3" fillId="2" borderId="6" xfId="0" applyFont="1" applyFill="1" applyBorder="1" applyAlignment="1">
      <alignment horizontal="left" vertical="center"/>
    </xf>
    <xf numFmtId="0" fontId="4" fillId="0" borderId="7" xfId="0" applyFont="1" applyBorder="1"/>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164" fontId="7" fillId="2" borderId="1" xfId="1" applyNumberFormat="1" applyFont="1" applyFill="1" applyBorder="1" applyAlignment="1">
      <alignment horizontal="center" vertical="center" wrapText="1"/>
    </xf>
    <xf numFmtId="0" fontId="8" fillId="4" borderId="3" xfId="0" applyFont="1" applyFill="1" applyBorder="1" applyAlignment="1">
      <alignment horizontal="center"/>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center" wrapText="1" indent="1"/>
    </xf>
    <xf numFmtId="0" fontId="9" fillId="3" borderId="1" xfId="0" applyFont="1" applyFill="1" applyBorder="1" applyAlignment="1">
      <alignment horizontal="left" vertical="center" wrapText="1"/>
    </xf>
    <xf numFmtId="164" fontId="10" fillId="3" borderId="1" xfId="1" applyNumberFormat="1" applyFont="1" applyFill="1" applyBorder="1" applyAlignment="1">
      <alignment horizontal="left" vertical="center" wrapText="1"/>
    </xf>
    <xf numFmtId="0" fontId="3" fillId="2" borderId="1" xfId="0" applyFont="1" applyFill="1" applyBorder="1" applyAlignment="1">
      <alignment horizontal="left" vertical="center"/>
    </xf>
    <xf numFmtId="0" fontId="4" fillId="5" borderId="1" xfId="0" applyFont="1" applyFill="1" applyBorder="1"/>
    <xf numFmtId="0" fontId="4" fillId="0" borderId="1" xfId="0" applyFont="1" applyBorder="1"/>
    <xf numFmtId="0" fontId="9" fillId="3" borderId="1" xfId="0" quotePrefix="1" applyFont="1" applyFill="1" applyBorder="1" applyAlignment="1">
      <alignment horizontal="left" vertical="center" wrapText="1" indent="1"/>
    </xf>
    <xf numFmtId="0" fontId="9" fillId="3" borderId="1" xfId="0" applyFont="1" applyFill="1" applyBorder="1" applyAlignment="1">
      <alignment horizontal="center" vertical="center" wrapText="1"/>
    </xf>
    <xf numFmtId="0" fontId="0" fillId="0" borderId="0" xfId="0" applyAlignment="1">
      <alignment horizontal="center"/>
    </xf>
    <xf numFmtId="0" fontId="9" fillId="3" borderId="1" xfId="0" applyFont="1" applyFill="1" applyBorder="1" applyAlignment="1">
      <alignment horizontal="left" vertical="top" wrapText="1"/>
    </xf>
    <xf numFmtId="0" fontId="7" fillId="2" borderId="1" xfId="0" applyFont="1" applyFill="1" applyBorder="1" applyAlignment="1">
      <alignment horizontal="center" vertical="top" wrapText="1"/>
    </xf>
    <xf numFmtId="0" fontId="0" fillId="0" borderId="0" xfId="0" applyAlignment="1">
      <alignment horizontal="left" vertical="top"/>
    </xf>
    <xf numFmtId="0" fontId="7" fillId="2" borderId="1" xfId="0" applyFont="1" applyFill="1" applyBorder="1" applyAlignment="1">
      <alignment horizontal="left" vertical="top" wrapText="1"/>
    </xf>
    <xf numFmtId="164" fontId="7" fillId="2" borderId="1" xfId="1" applyNumberFormat="1" applyFont="1" applyFill="1" applyBorder="1" applyAlignment="1">
      <alignment horizontal="left" vertical="top" wrapText="1"/>
    </xf>
    <xf numFmtId="0" fontId="0" fillId="0" borderId="0" xfId="0" applyAlignment="1">
      <alignment vertical="top"/>
    </xf>
    <xf numFmtId="164" fontId="7" fillId="2" borderId="1" xfId="1" applyNumberFormat="1" applyFont="1" applyFill="1" applyBorder="1" applyAlignment="1">
      <alignment horizontal="center" vertical="top" wrapText="1"/>
    </xf>
    <xf numFmtId="0" fontId="8" fillId="3"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 xfId="0" applyFont="1" applyFill="1" applyBorder="1" applyAlignment="1">
      <alignment horizontal="left" vertical="center" wrapText="1" indent="1"/>
    </xf>
    <xf numFmtId="0" fontId="0" fillId="0" borderId="0" xfId="0" applyAlignment="1">
      <alignment vertical="center"/>
    </xf>
    <xf numFmtId="0" fontId="9" fillId="0" borderId="1" xfId="0" applyFont="1" applyBorder="1" applyAlignment="1">
      <alignment horizontal="left" vertical="center" wrapText="1"/>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164" fontId="7" fillId="2" borderId="1" xfId="2" applyNumberFormat="1" applyFont="1" applyFill="1" applyBorder="1" applyAlignment="1">
      <alignment horizontal="center" vertical="center" wrapText="1"/>
    </xf>
    <xf numFmtId="0" fontId="10" fillId="3" borderId="1" xfId="0" applyFont="1" applyFill="1" applyBorder="1" applyAlignment="1">
      <alignment horizontal="left" vertical="top" wrapText="1"/>
    </xf>
    <xf numFmtId="0" fontId="13" fillId="11" borderId="8" xfId="0" applyFont="1" applyFill="1" applyBorder="1" applyAlignment="1">
      <alignment horizontal="center" vertical="center" wrapText="1"/>
    </xf>
    <xf numFmtId="0" fontId="13" fillId="11" borderId="9" xfId="0" applyFont="1" applyFill="1" applyBorder="1" applyAlignment="1">
      <alignment vertical="center" wrapText="1"/>
    </xf>
    <xf numFmtId="0" fontId="13" fillId="11" borderId="9" xfId="0" applyFont="1" applyFill="1" applyBorder="1" applyAlignment="1">
      <alignment horizontal="center" vertical="center" wrapText="1"/>
    </xf>
    <xf numFmtId="0" fontId="14" fillId="12" borderId="10" xfId="0" applyFont="1" applyFill="1" applyBorder="1" applyAlignment="1">
      <alignment horizontal="center" vertical="center"/>
    </xf>
    <xf numFmtId="0" fontId="14" fillId="9" borderId="8" xfId="0" applyFont="1" applyFill="1" applyBorder="1" applyAlignment="1">
      <alignment horizontal="center" vertical="center" wrapText="1"/>
    </xf>
    <xf numFmtId="0" fontId="15" fillId="13" borderId="11" xfId="0" applyFont="1" applyFill="1" applyBorder="1" applyAlignment="1">
      <alignment horizontal="left" vertical="center" wrapText="1" indent="1"/>
    </xf>
    <xf numFmtId="0" fontId="15" fillId="13" borderId="11" xfId="0" applyFont="1" applyFill="1" applyBorder="1" applyAlignment="1">
      <alignment vertical="center" wrapText="1"/>
    </xf>
    <xf numFmtId="0" fontId="14" fillId="14" borderId="9" xfId="0" applyFont="1" applyFill="1" applyBorder="1" applyAlignment="1">
      <alignment horizontal="center" vertical="center" wrapText="1"/>
    </xf>
    <xf numFmtId="0" fontId="15" fillId="13" borderId="11" xfId="0" applyFont="1" applyFill="1" applyBorder="1" applyAlignment="1">
      <alignment horizontal="center" vertical="center" wrapText="1"/>
    </xf>
    <xf numFmtId="0" fontId="14" fillId="9" borderId="12" xfId="0" applyFont="1" applyFill="1" applyBorder="1" applyAlignment="1">
      <alignment horizontal="center" vertical="center" wrapText="1"/>
    </xf>
    <xf numFmtId="0" fontId="14" fillId="15" borderId="11"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5" fillId="13" borderId="13" xfId="0" applyFont="1" applyFill="1" applyBorder="1" applyAlignment="1">
      <alignment vertical="center" wrapText="1"/>
    </xf>
    <xf numFmtId="0" fontId="14" fillId="16" borderId="9" xfId="0" applyFont="1" applyFill="1" applyBorder="1" applyAlignment="1">
      <alignment horizontal="center" vertical="center" wrapText="1"/>
    </xf>
    <xf numFmtId="0" fontId="14" fillId="15" borderId="9" xfId="0" applyFont="1" applyFill="1" applyBorder="1" applyAlignment="1">
      <alignment horizontal="center" vertical="center" wrapText="1"/>
    </xf>
    <xf numFmtId="0" fontId="14" fillId="16"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7" borderId="11"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12" borderId="15" xfId="0" applyFont="1" applyFill="1" applyBorder="1" applyAlignment="1">
      <alignment horizontal="center" vertical="center" wrapText="1"/>
    </xf>
    <xf numFmtId="0" fontId="14" fillId="12" borderId="16" xfId="0" applyFont="1" applyFill="1" applyBorder="1" applyAlignment="1">
      <alignment horizontal="center" vertical="center" wrapText="1"/>
    </xf>
    <xf numFmtId="0" fontId="14" fillId="12" borderId="17"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4" fillId="9" borderId="12" xfId="0" applyFont="1" applyFill="1" applyBorder="1" applyAlignment="1">
      <alignment horizontal="center" vertical="center" wrapText="1"/>
    </xf>
    <xf numFmtId="0" fontId="15" fillId="13" borderId="14" xfId="0" applyFont="1" applyFill="1" applyBorder="1" applyAlignment="1">
      <alignment vertical="center" wrapText="1"/>
    </xf>
    <xf numFmtId="0" fontId="15" fillId="13" borderId="12" xfId="0" applyFont="1" applyFill="1" applyBorder="1" applyAlignment="1">
      <alignment vertical="center" wrapText="1"/>
    </xf>
    <xf numFmtId="0" fontId="14" fillId="16" borderId="14" xfId="0" applyFont="1" applyFill="1" applyBorder="1" applyAlignment="1">
      <alignment horizontal="center" vertical="center" wrapText="1"/>
    </xf>
    <xf numFmtId="0" fontId="14" fillId="16" borderId="12" xfId="0" applyFont="1" applyFill="1" applyBorder="1" applyAlignment="1">
      <alignment horizontal="center" vertical="center" wrapText="1"/>
    </xf>
    <xf numFmtId="0" fontId="14" fillId="15" borderId="14" xfId="0" applyFont="1" applyFill="1" applyBorder="1" applyAlignment="1">
      <alignment horizontal="center" vertical="center" wrapText="1"/>
    </xf>
    <xf numFmtId="0" fontId="14" fillId="15" borderId="12" xfId="0" applyFont="1" applyFill="1" applyBorder="1" applyAlignment="1">
      <alignment horizontal="center" vertical="center" wrapText="1"/>
    </xf>
    <xf numFmtId="0" fontId="15" fillId="13" borderId="14" xfId="0" applyFont="1" applyFill="1" applyBorder="1" applyAlignment="1">
      <alignment horizontal="center" vertical="center" wrapText="1"/>
    </xf>
    <xf numFmtId="0" fontId="15" fillId="13" borderId="12" xfId="0" applyFont="1" applyFill="1" applyBorder="1" applyAlignment="1">
      <alignment horizontal="center" vertical="center" wrapText="1"/>
    </xf>
    <xf numFmtId="0" fontId="14" fillId="14" borderId="10" xfId="0" applyFont="1" applyFill="1" applyBorder="1" applyAlignment="1">
      <alignment horizontal="center" vertical="center" wrapText="1"/>
    </xf>
    <xf numFmtId="0" fontId="14" fillId="14" borderId="14"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5" fillId="13" borderId="10" xfId="0" applyFont="1" applyFill="1" applyBorder="1" applyAlignment="1">
      <alignment vertical="center" wrapText="1"/>
    </xf>
    <xf numFmtId="0" fontId="15" fillId="13" borderId="10" xfId="0" applyFont="1" applyFill="1" applyBorder="1" applyAlignment="1">
      <alignment horizontal="center" vertical="center" wrapText="1"/>
    </xf>
    <xf numFmtId="0" fontId="9" fillId="3" borderId="5" xfId="0" applyFont="1" applyFill="1" applyBorder="1" applyAlignment="1">
      <alignment horizontal="left" vertical="top" wrapText="1"/>
    </xf>
    <xf numFmtId="0" fontId="9" fillId="3" borderId="4"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0" fillId="0" borderId="0" xfId="0" applyAlignment="1">
      <alignment wrapText="1"/>
    </xf>
    <xf numFmtId="0" fontId="8" fillId="17" borderId="5" xfId="0" applyFont="1" applyFill="1" applyBorder="1" applyAlignment="1">
      <alignment horizontal="center" vertical="center" wrapText="1"/>
    </xf>
    <xf numFmtId="0" fontId="8" fillId="17" borderId="4" xfId="0" applyFont="1" applyFill="1" applyBorder="1" applyAlignment="1">
      <alignment horizontal="center" vertical="center" wrapText="1"/>
    </xf>
    <xf numFmtId="0" fontId="8" fillId="17" borderId="2" xfId="0" applyFont="1" applyFill="1" applyBorder="1" applyAlignment="1">
      <alignment horizontal="center" vertical="center" wrapText="1"/>
    </xf>
    <xf numFmtId="0" fontId="8" fillId="17" borderId="3" xfId="0" applyFont="1" applyFill="1" applyBorder="1" applyAlignment="1">
      <alignment horizontal="center"/>
    </xf>
    <xf numFmtId="0" fontId="8" fillId="17" borderId="1" xfId="0" applyFont="1" applyFill="1" applyBorder="1" applyAlignment="1">
      <alignment horizontal="center"/>
    </xf>
    <xf numFmtId="0" fontId="10" fillId="0" borderId="1" xfId="0" applyFont="1" applyBorder="1" applyAlignment="1">
      <alignment wrapText="1"/>
    </xf>
    <xf numFmtId="164" fontId="7" fillId="2" borderId="2" xfId="1" applyNumberFormat="1" applyFont="1" applyFill="1" applyBorder="1" applyAlignment="1">
      <alignment horizontal="center" vertical="center" wrapText="1"/>
    </xf>
  </cellXfs>
  <cellStyles count="3">
    <cellStyle name="Currency" xfId="1" builtinId="4"/>
    <cellStyle name="Currency 2" xfId="2" xr:uid="{4B5DFBB7-5FA3-44E3-B4D9-0FCF0840CC05}"/>
    <cellStyle name="Normal" xfId="0" builtinId="0"/>
  </cellStyles>
  <dxfs count="284">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0"/>
        <color theme="0"/>
        <name val="Arial"/>
        <scheme val="none"/>
      </font>
      <numFmt numFmtId="0" formatCode="General"/>
      <fill>
        <patternFill patternType="solid">
          <fgColor indexed="64"/>
          <bgColor theme="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0"/>
        <color theme="0"/>
        <name val="Arial"/>
        <scheme val="none"/>
      </font>
      <numFmt numFmtId="0" formatCode="General"/>
      <fill>
        <patternFill patternType="solid">
          <fgColor indexed="64"/>
          <bgColor theme="1"/>
        </patternFill>
      </fill>
      <alignment horizontal="left" vertical="center" textRotation="0" wrapText="0" indent="0" justifyLastLine="0" shrinkToFit="0" readingOrder="0"/>
    </dxf>
  </dxfs>
  <tableStyles count="0" defaultTableStyle="TableStyleMedium2" defaultPivotStyle="PivotStyleLight16"/>
  <colors>
    <mruColors>
      <color rgb="FFFF0000"/>
      <color rgb="FF23DB27"/>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customXml" Target="../customXml/item2.xml"/><Relationship Id="rId21" Type="http://schemas.openxmlformats.org/officeDocument/2006/relationships/externalLink" Target="externalLinks/externalLink4.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theme" Target="theme/theme1.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4</xdr:col>
      <xdr:colOff>285113</xdr:colOff>
      <xdr:row>0</xdr:row>
      <xdr:rowOff>2288683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600825" y="409575"/>
          <a:ext cx="5066667" cy="13714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2</xdr:col>
      <xdr:colOff>1152525</xdr:colOff>
      <xdr:row>0</xdr:row>
      <xdr:rowOff>28575</xdr:rowOff>
    </xdr:from>
    <xdr:ext cx="4248307" cy="2260108"/>
    <xdr:pic>
      <xdr:nvPicPr>
        <xdr:cNvPr id="2" name="Picture 1">
          <a:extLst>
            <a:ext uri="{FF2B5EF4-FFF2-40B4-BE49-F238E27FC236}">
              <a16:creationId xmlns:a16="http://schemas.microsoft.com/office/drawing/2014/main" id="{D630F9FD-FE25-4304-97BF-CD3107AE7856}"/>
            </a:ext>
          </a:extLst>
        </xdr:cNvPr>
        <xdr:cNvPicPr>
          <a:picLocks noChangeAspect="1"/>
        </xdr:cNvPicPr>
      </xdr:nvPicPr>
      <xdr:blipFill>
        <a:blip xmlns:r="http://schemas.openxmlformats.org/officeDocument/2006/relationships" r:embed="rId1"/>
        <a:stretch>
          <a:fillRect/>
        </a:stretch>
      </xdr:blipFill>
      <xdr:spPr>
        <a:xfrm>
          <a:off x="5826125" y="28575"/>
          <a:ext cx="4248307" cy="2260108"/>
        </a:xfrm>
        <a:prstGeom prst="rect">
          <a:avLst/>
        </a:prstGeom>
      </xdr:spPr>
    </xdr:pic>
    <xdr:clientData/>
  </xdr:oneCellAnchor>
  <xdr:oneCellAnchor>
    <xdr:from>
      <xdr:col>4</xdr:col>
      <xdr:colOff>1724025</xdr:colOff>
      <xdr:row>0</xdr:row>
      <xdr:rowOff>409575</xdr:rowOff>
    </xdr:from>
    <xdr:ext cx="5183862" cy="1371429"/>
    <xdr:pic>
      <xdr:nvPicPr>
        <xdr:cNvPr id="3" name="Picture 2">
          <a:extLst>
            <a:ext uri="{FF2B5EF4-FFF2-40B4-BE49-F238E27FC236}">
              <a16:creationId xmlns:a16="http://schemas.microsoft.com/office/drawing/2014/main" id="{DB88D239-AAB1-4234-BBDE-4D3DB56A6C33}"/>
            </a:ext>
          </a:extLst>
        </xdr:cNvPr>
        <xdr:cNvPicPr>
          <a:picLocks noChangeAspect="1"/>
        </xdr:cNvPicPr>
      </xdr:nvPicPr>
      <xdr:blipFill>
        <a:blip xmlns:r="http://schemas.openxmlformats.org/officeDocument/2006/relationships" r:embed="rId2"/>
        <a:stretch>
          <a:fillRect/>
        </a:stretch>
      </xdr:blipFill>
      <xdr:spPr>
        <a:xfrm>
          <a:off x="11071225" y="180975"/>
          <a:ext cx="5183862" cy="137142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2</xdr:col>
      <xdr:colOff>1152525</xdr:colOff>
      <xdr:row>0</xdr:row>
      <xdr:rowOff>28575</xdr:rowOff>
    </xdr:from>
    <xdr:ext cx="4248307" cy="2260108"/>
    <xdr:pic>
      <xdr:nvPicPr>
        <xdr:cNvPr id="2" name="Picture 1">
          <a:extLst>
            <a:ext uri="{FF2B5EF4-FFF2-40B4-BE49-F238E27FC236}">
              <a16:creationId xmlns:a16="http://schemas.microsoft.com/office/drawing/2014/main" id="{11EB6FFA-2AFC-48CA-9D5B-A77C7B28F6B0}"/>
            </a:ext>
          </a:extLst>
        </xdr:cNvPr>
        <xdr:cNvPicPr>
          <a:picLocks noChangeAspect="1"/>
        </xdr:cNvPicPr>
      </xdr:nvPicPr>
      <xdr:blipFill>
        <a:blip xmlns:r="http://schemas.openxmlformats.org/officeDocument/2006/relationships" r:embed="rId1"/>
        <a:stretch>
          <a:fillRect/>
        </a:stretch>
      </xdr:blipFill>
      <xdr:spPr>
        <a:xfrm>
          <a:off x="5826125" y="28575"/>
          <a:ext cx="4248307" cy="2260108"/>
        </a:xfrm>
        <a:prstGeom prst="rect">
          <a:avLst/>
        </a:prstGeom>
      </xdr:spPr>
    </xdr:pic>
    <xdr:clientData/>
  </xdr:oneCellAnchor>
  <xdr:oneCellAnchor>
    <xdr:from>
      <xdr:col>4</xdr:col>
      <xdr:colOff>1724025</xdr:colOff>
      <xdr:row>0</xdr:row>
      <xdr:rowOff>409575</xdr:rowOff>
    </xdr:from>
    <xdr:ext cx="5182275" cy="1371429"/>
    <xdr:pic>
      <xdr:nvPicPr>
        <xdr:cNvPr id="3" name="Picture 2">
          <a:extLst>
            <a:ext uri="{FF2B5EF4-FFF2-40B4-BE49-F238E27FC236}">
              <a16:creationId xmlns:a16="http://schemas.microsoft.com/office/drawing/2014/main" id="{65AC7E02-7049-4DA0-8635-56CDD9CBB6B6}"/>
            </a:ext>
          </a:extLst>
        </xdr:cNvPr>
        <xdr:cNvPicPr>
          <a:picLocks noChangeAspect="1"/>
        </xdr:cNvPicPr>
      </xdr:nvPicPr>
      <xdr:blipFill>
        <a:blip xmlns:r="http://schemas.openxmlformats.org/officeDocument/2006/relationships" r:embed="rId2"/>
        <a:stretch>
          <a:fillRect/>
        </a:stretch>
      </xdr:blipFill>
      <xdr:spPr>
        <a:xfrm>
          <a:off x="11071225" y="180975"/>
          <a:ext cx="5182275" cy="137142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2</xdr:col>
      <xdr:colOff>1152525</xdr:colOff>
      <xdr:row>0</xdr:row>
      <xdr:rowOff>28575</xdr:rowOff>
    </xdr:from>
    <xdr:ext cx="4240369" cy="2260108"/>
    <xdr:pic>
      <xdr:nvPicPr>
        <xdr:cNvPr id="2" name="Picture 1">
          <a:extLst>
            <a:ext uri="{FF2B5EF4-FFF2-40B4-BE49-F238E27FC236}">
              <a16:creationId xmlns:a16="http://schemas.microsoft.com/office/drawing/2014/main" id="{02D5945B-201A-43C8-90D3-EEB021704D56}"/>
            </a:ext>
          </a:extLst>
        </xdr:cNvPr>
        <xdr:cNvPicPr>
          <a:picLocks noChangeAspect="1"/>
        </xdr:cNvPicPr>
      </xdr:nvPicPr>
      <xdr:blipFill>
        <a:blip xmlns:r="http://schemas.openxmlformats.org/officeDocument/2006/relationships" r:embed="rId1"/>
        <a:stretch>
          <a:fillRect/>
        </a:stretch>
      </xdr:blipFill>
      <xdr:spPr>
        <a:xfrm>
          <a:off x="5826125" y="28575"/>
          <a:ext cx="4240369" cy="2260108"/>
        </a:xfrm>
        <a:prstGeom prst="rect">
          <a:avLst/>
        </a:prstGeom>
      </xdr:spPr>
    </xdr:pic>
    <xdr:clientData/>
  </xdr:oneCellAnchor>
  <xdr:oneCellAnchor>
    <xdr:from>
      <xdr:col>4</xdr:col>
      <xdr:colOff>1724025</xdr:colOff>
      <xdr:row>0</xdr:row>
      <xdr:rowOff>409575</xdr:rowOff>
    </xdr:from>
    <xdr:ext cx="5182275" cy="1371429"/>
    <xdr:pic>
      <xdr:nvPicPr>
        <xdr:cNvPr id="3" name="Picture 2">
          <a:extLst>
            <a:ext uri="{FF2B5EF4-FFF2-40B4-BE49-F238E27FC236}">
              <a16:creationId xmlns:a16="http://schemas.microsoft.com/office/drawing/2014/main" id="{DDF540D6-0372-444F-9C85-EBB7454AB3AB}"/>
            </a:ext>
          </a:extLst>
        </xdr:cNvPr>
        <xdr:cNvPicPr>
          <a:picLocks noChangeAspect="1"/>
        </xdr:cNvPicPr>
      </xdr:nvPicPr>
      <xdr:blipFill>
        <a:blip xmlns:r="http://schemas.openxmlformats.org/officeDocument/2006/relationships" r:embed="rId2"/>
        <a:stretch>
          <a:fillRect/>
        </a:stretch>
      </xdr:blipFill>
      <xdr:spPr>
        <a:xfrm>
          <a:off x="11071225" y="180975"/>
          <a:ext cx="5182275" cy="1371429"/>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2</xdr:col>
      <xdr:colOff>1009650</xdr:colOff>
      <xdr:row>0</xdr:row>
      <xdr:rowOff>0</xdr:rowOff>
    </xdr:from>
    <xdr:ext cx="4243897" cy="2260108"/>
    <xdr:pic>
      <xdr:nvPicPr>
        <xdr:cNvPr id="2" name="Picture 1">
          <a:extLst>
            <a:ext uri="{FF2B5EF4-FFF2-40B4-BE49-F238E27FC236}">
              <a16:creationId xmlns:a16="http://schemas.microsoft.com/office/drawing/2014/main" id="{65E1FC9B-7021-4267-B417-988A1EF57EB3}"/>
            </a:ext>
          </a:extLst>
        </xdr:cNvPr>
        <xdr:cNvPicPr>
          <a:picLocks noChangeAspect="1"/>
        </xdr:cNvPicPr>
      </xdr:nvPicPr>
      <xdr:blipFill>
        <a:blip xmlns:r="http://schemas.openxmlformats.org/officeDocument/2006/relationships" r:embed="rId1"/>
        <a:stretch>
          <a:fillRect/>
        </a:stretch>
      </xdr:blipFill>
      <xdr:spPr>
        <a:xfrm>
          <a:off x="5683250" y="0"/>
          <a:ext cx="4243897" cy="2260108"/>
        </a:xfrm>
        <a:prstGeom prst="rect">
          <a:avLst/>
        </a:prstGeom>
      </xdr:spPr>
    </xdr:pic>
    <xdr:clientData/>
  </xdr:oneCellAnchor>
  <xdr:oneCellAnchor>
    <xdr:from>
      <xdr:col>4</xdr:col>
      <xdr:colOff>1724025</xdr:colOff>
      <xdr:row>0</xdr:row>
      <xdr:rowOff>409575</xdr:rowOff>
    </xdr:from>
    <xdr:ext cx="5188272" cy="1371429"/>
    <xdr:pic>
      <xdr:nvPicPr>
        <xdr:cNvPr id="3" name="Picture 2">
          <a:extLst>
            <a:ext uri="{FF2B5EF4-FFF2-40B4-BE49-F238E27FC236}">
              <a16:creationId xmlns:a16="http://schemas.microsoft.com/office/drawing/2014/main" id="{A8FCF0FE-6896-4934-A766-E709207EE9EE}"/>
            </a:ext>
          </a:extLst>
        </xdr:cNvPr>
        <xdr:cNvPicPr>
          <a:picLocks noChangeAspect="1"/>
        </xdr:cNvPicPr>
      </xdr:nvPicPr>
      <xdr:blipFill>
        <a:blip xmlns:r="http://schemas.openxmlformats.org/officeDocument/2006/relationships" r:embed="rId2"/>
        <a:stretch>
          <a:fillRect/>
        </a:stretch>
      </xdr:blipFill>
      <xdr:spPr>
        <a:xfrm>
          <a:off x="11071225" y="180975"/>
          <a:ext cx="5188272" cy="1371429"/>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2</xdr:col>
      <xdr:colOff>1253378</xdr:colOff>
      <xdr:row>0</xdr:row>
      <xdr:rowOff>118222</xdr:rowOff>
    </xdr:from>
    <xdr:ext cx="4336413" cy="2260108"/>
    <xdr:pic>
      <xdr:nvPicPr>
        <xdr:cNvPr id="2" name="Picture 1">
          <a:extLst>
            <a:ext uri="{FF2B5EF4-FFF2-40B4-BE49-F238E27FC236}">
              <a16:creationId xmlns:a16="http://schemas.microsoft.com/office/drawing/2014/main" id="{8268D8E4-4EA9-4134-B23F-BDD250A46FD4}"/>
            </a:ext>
          </a:extLst>
        </xdr:cNvPr>
        <xdr:cNvPicPr>
          <a:picLocks noChangeAspect="1"/>
        </xdr:cNvPicPr>
      </xdr:nvPicPr>
      <xdr:blipFill>
        <a:blip xmlns:r="http://schemas.openxmlformats.org/officeDocument/2006/relationships" r:embed="rId1"/>
        <a:stretch>
          <a:fillRect/>
        </a:stretch>
      </xdr:blipFill>
      <xdr:spPr>
        <a:xfrm>
          <a:off x="5926978" y="118222"/>
          <a:ext cx="4336413" cy="2260108"/>
        </a:xfrm>
        <a:prstGeom prst="rect">
          <a:avLst/>
        </a:prstGeom>
      </xdr:spPr>
    </xdr:pic>
    <xdr:clientData/>
  </xdr:oneCellAnchor>
  <xdr:oneCellAnchor>
    <xdr:from>
      <xdr:col>5</xdr:col>
      <xdr:colOff>303120</xdr:colOff>
      <xdr:row>0</xdr:row>
      <xdr:rowOff>470648</xdr:rowOff>
    </xdr:from>
    <xdr:ext cx="5257400" cy="1371429"/>
    <xdr:pic>
      <xdr:nvPicPr>
        <xdr:cNvPr id="3" name="Picture 2">
          <a:extLst>
            <a:ext uri="{FF2B5EF4-FFF2-40B4-BE49-F238E27FC236}">
              <a16:creationId xmlns:a16="http://schemas.microsoft.com/office/drawing/2014/main" id="{3892B635-3E9B-4ABF-99AA-B2DCDA68FEED}"/>
            </a:ext>
          </a:extLst>
        </xdr:cNvPr>
        <xdr:cNvPicPr>
          <a:picLocks noChangeAspect="1"/>
        </xdr:cNvPicPr>
      </xdr:nvPicPr>
      <xdr:blipFill>
        <a:blip xmlns:r="http://schemas.openxmlformats.org/officeDocument/2006/relationships" r:embed="rId2"/>
        <a:stretch>
          <a:fillRect/>
        </a:stretch>
      </xdr:blipFill>
      <xdr:spPr>
        <a:xfrm>
          <a:off x="11987120" y="184898"/>
          <a:ext cx="5257400" cy="1371429"/>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2</xdr:col>
      <xdr:colOff>1152525</xdr:colOff>
      <xdr:row>0</xdr:row>
      <xdr:rowOff>28575</xdr:rowOff>
    </xdr:from>
    <xdr:ext cx="4246719" cy="2260108"/>
    <xdr:pic>
      <xdr:nvPicPr>
        <xdr:cNvPr id="2" name="Picture 1">
          <a:extLst>
            <a:ext uri="{FF2B5EF4-FFF2-40B4-BE49-F238E27FC236}">
              <a16:creationId xmlns:a16="http://schemas.microsoft.com/office/drawing/2014/main" id="{F9E84BA2-39EB-44AA-9EE6-8016AA105CBE}"/>
            </a:ext>
          </a:extLst>
        </xdr:cNvPr>
        <xdr:cNvPicPr>
          <a:picLocks noChangeAspect="1"/>
        </xdr:cNvPicPr>
      </xdr:nvPicPr>
      <xdr:blipFill>
        <a:blip xmlns:r="http://schemas.openxmlformats.org/officeDocument/2006/relationships" r:embed="rId1"/>
        <a:stretch>
          <a:fillRect/>
        </a:stretch>
      </xdr:blipFill>
      <xdr:spPr>
        <a:xfrm>
          <a:off x="5826125" y="28575"/>
          <a:ext cx="4246719" cy="2260108"/>
        </a:xfrm>
        <a:prstGeom prst="rect">
          <a:avLst/>
        </a:prstGeom>
      </xdr:spPr>
    </xdr:pic>
    <xdr:clientData/>
  </xdr:oneCellAnchor>
  <xdr:oneCellAnchor>
    <xdr:from>
      <xdr:col>4</xdr:col>
      <xdr:colOff>1724025</xdr:colOff>
      <xdr:row>0</xdr:row>
      <xdr:rowOff>409575</xdr:rowOff>
    </xdr:from>
    <xdr:ext cx="5191800" cy="1371429"/>
    <xdr:pic>
      <xdr:nvPicPr>
        <xdr:cNvPr id="3" name="Picture 2">
          <a:extLst>
            <a:ext uri="{FF2B5EF4-FFF2-40B4-BE49-F238E27FC236}">
              <a16:creationId xmlns:a16="http://schemas.microsoft.com/office/drawing/2014/main" id="{4ECB46A4-FFBC-4E1E-8939-ED8599BBCC6C}"/>
            </a:ext>
          </a:extLst>
        </xdr:cNvPr>
        <xdr:cNvPicPr>
          <a:picLocks noChangeAspect="1"/>
        </xdr:cNvPicPr>
      </xdr:nvPicPr>
      <xdr:blipFill>
        <a:blip xmlns:r="http://schemas.openxmlformats.org/officeDocument/2006/relationships" r:embed="rId2"/>
        <a:stretch>
          <a:fillRect/>
        </a:stretch>
      </xdr:blipFill>
      <xdr:spPr>
        <a:xfrm>
          <a:off x="11071225" y="180975"/>
          <a:ext cx="5191800" cy="13714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2794676</xdr:colOff>
      <xdr:row>0</xdr:row>
      <xdr:rowOff>1781004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1152525</xdr:colOff>
      <xdr:row>0</xdr:row>
      <xdr:rowOff>28575</xdr:rowOff>
    </xdr:from>
    <xdr:ext cx="4371338" cy="2260108"/>
    <xdr:pic>
      <xdr:nvPicPr>
        <xdr:cNvPr id="2" name="Picture 1">
          <a:extLst>
            <a:ext uri="{FF2B5EF4-FFF2-40B4-BE49-F238E27FC236}">
              <a16:creationId xmlns:a16="http://schemas.microsoft.com/office/drawing/2014/main" id="{64B9D773-8CC4-4EA8-8886-79E6CEDF4CB2}"/>
            </a:ext>
          </a:extLst>
        </xdr:cNvPr>
        <xdr:cNvPicPr>
          <a:picLocks noChangeAspect="1"/>
        </xdr:cNvPicPr>
      </xdr:nvPicPr>
      <xdr:blipFill>
        <a:blip xmlns:r="http://schemas.openxmlformats.org/officeDocument/2006/relationships" r:embed="rId1"/>
        <a:stretch>
          <a:fillRect/>
        </a:stretch>
      </xdr:blipFill>
      <xdr:spPr>
        <a:xfrm>
          <a:off x="5826125" y="28575"/>
          <a:ext cx="4371338" cy="2260108"/>
        </a:xfrm>
        <a:prstGeom prst="rect">
          <a:avLst/>
        </a:prstGeom>
      </xdr:spPr>
    </xdr:pic>
    <xdr:clientData/>
  </xdr:oneCellAnchor>
  <xdr:oneCellAnchor>
    <xdr:from>
      <xdr:col>4</xdr:col>
      <xdr:colOff>1724025</xdr:colOff>
      <xdr:row>0</xdr:row>
      <xdr:rowOff>409575</xdr:rowOff>
    </xdr:from>
    <xdr:ext cx="5183863" cy="1371429"/>
    <xdr:pic>
      <xdr:nvPicPr>
        <xdr:cNvPr id="3" name="Picture 2">
          <a:extLst>
            <a:ext uri="{FF2B5EF4-FFF2-40B4-BE49-F238E27FC236}">
              <a16:creationId xmlns:a16="http://schemas.microsoft.com/office/drawing/2014/main" id="{349B83E4-C410-46EC-9025-3A6E1B8C2E66}"/>
            </a:ext>
          </a:extLst>
        </xdr:cNvPr>
        <xdr:cNvPicPr>
          <a:picLocks noChangeAspect="1"/>
        </xdr:cNvPicPr>
      </xdr:nvPicPr>
      <xdr:blipFill>
        <a:blip xmlns:r="http://schemas.openxmlformats.org/officeDocument/2006/relationships" r:embed="rId2"/>
        <a:stretch>
          <a:fillRect/>
        </a:stretch>
      </xdr:blipFill>
      <xdr:spPr>
        <a:xfrm>
          <a:off x="11071225" y="180975"/>
          <a:ext cx="5183863" cy="137142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1152525</xdr:colOff>
      <xdr:row>0</xdr:row>
      <xdr:rowOff>28575</xdr:rowOff>
    </xdr:from>
    <xdr:ext cx="4248307" cy="2260108"/>
    <xdr:pic>
      <xdr:nvPicPr>
        <xdr:cNvPr id="2" name="Picture 1">
          <a:extLst>
            <a:ext uri="{FF2B5EF4-FFF2-40B4-BE49-F238E27FC236}">
              <a16:creationId xmlns:a16="http://schemas.microsoft.com/office/drawing/2014/main" id="{5855DE96-54C9-4674-B0AC-68A8BB17D5FE}"/>
            </a:ext>
          </a:extLst>
        </xdr:cNvPr>
        <xdr:cNvPicPr>
          <a:picLocks noChangeAspect="1"/>
        </xdr:cNvPicPr>
      </xdr:nvPicPr>
      <xdr:blipFill>
        <a:blip xmlns:r="http://schemas.openxmlformats.org/officeDocument/2006/relationships" r:embed="rId1"/>
        <a:stretch>
          <a:fillRect/>
        </a:stretch>
      </xdr:blipFill>
      <xdr:spPr>
        <a:xfrm>
          <a:off x="5826125" y="28575"/>
          <a:ext cx="4248307" cy="2260108"/>
        </a:xfrm>
        <a:prstGeom prst="rect">
          <a:avLst/>
        </a:prstGeom>
      </xdr:spPr>
    </xdr:pic>
    <xdr:clientData/>
  </xdr:oneCellAnchor>
  <xdr:oneCellAnchor>
    <xdr:from>
      <xdr:col>4</xdr:col>
      <xdr:colOff>1724025</xdr:colOff>
      <xdr:row>0</xdr:row>
      <xdr:rowOff>409575</xdr:rowOff>
    </xdr:from>
    <xdr:ext cx="5183862" cy="1371429"/>
    <xdr:pic>
      <xdr:nvPicPr>
        <xdr:cNvPr id="3" name="Picture 2">
          <a:extLst>
            <a:ext uri="{FF2B5EF4-FFF2-40B4-BE49-F238E27FC236}">
              <a16:creationId xmlns:a16="http://schemas.microsoft.com/office/drawing/2014/main" id="{27BAEF59-3FC4-4FAF-AF30-E986C96EA966}"/>
            </a:ext>
          </a:extLst>
        </xdr:cNvPr>
        <xdr:cNvPicPr>
          <a:picLocks noChangeAspect="1"/>
        </xdr:cNvPicPr>
      </xdr:nvPicPr>
      <xdr:blipFill>
        <a:blip xmlns:r="http://schemas.openxmlformats.org/officeDocument/2006/relationships" r:embed="rId2"/>
        <a:stretch>
          <a:fillRect/>
        </a:stretch>
      </xdr:blipFill>
      <xdr:spPr>
        <a:xfrm>
          <a:off x="11071225" y="180975"/>
          <a:ext cx="5183862" cy="137142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1394460</xdr:colOff>
      <xdr:row>0</xdr:row>
      <xdr:rowOff>152400</xdr:rowOff>
    </xdr:from>
    <xdr:ext cx="4244179" cy="2276618"/>
    <xdr:pic>
      <xdr:nvPicPr>
        <xdr:cNvPr id="2" name="Picture 3">
          <a:extLst>
            <a:ext uri="{FF2B5EF4-FFF2-40B4-BE49-F238E27FC236}">
              <a16:creationId xmlns:a16="http://schemas.microsoft.com/office/drawing/2014/main" id="{139261F5-854A-4EE0-98BF-21DDFB8103F1}"/>
            </a:ext>
          </a:extLst>
        </xdr:cNvPr>
        <xdr:cNvPicPr>
          <a:picLocks noChangeAspect="1"/>
        </xdr:cNvPicPr>
      </xdr:nvPicPr>
      <xdr:blipFill>
        <a:blip xmlns:r="http://schemas.openxmlformats.org/officeDocument/2006/relationships" r:embed="rId1"/>
        <a:stretch>
          <a:fillRect/>
        </a:stretch>
      </xdr:blipFill>
      <xdr:spPr>
        <a:xfrm>
          <a:off x="1521460" y="152400"/>
          <a:ext cx="4244179" cy="2276618"/>
        </a:xfrm>
        <a:prstGeom prst="rect">
          <a:avLst/>
        </a:prstGeom>
      </xdr:spPr>
    </xdr:pic>
    <xdr:clientData/>
  </xdr:oneCellAnchor>
  <xdr:oneCellAnchor>
    <xdr:from>
      <xdr:col>4</xdr:col>
      <xdr:colOff>0</xdr:colOff>
      <xdr:row>3</xdr:row>
      <xdr:rowOff>0</xdr:rowOff>
    </xdr:from>
    <xdr:ext cx="5179735" cy="1380319"/>
    <xdr:pic>
      <xdr:nvPicPr>
        <xdr:cNvPr id="3" name="Picture 4">
          <a:extLst>
            <a:ext uri="{FF2B5EF4-FFF2-40B4-BE49-F238E27FC236}">
              <a16:creationId xmlns:a16="http://schemas.microsoft.com/office/drawing/2014/main" id="{6E2EDFD4-9774-4E01-8B8F-E53C878D3DF0}"/>
            </a:ext>
          </a:extLst>
        </xdr:cNvPr>
        <xdr:cNvPicPr>
          <a:picLocks noChangeAspect="1"/>
        </xdr:cNvPicPr>
      </xdr:nvPicPr>
      <xdr:blipFill>
        <a:blip xmlns:r="http://schemas.openxmlformats.org/officeDocument/2006/relationships" r:embed="rId2"/>
        <a:stretch>
          <a:fillRect/>
        </a:stretch>
      </xdr:blipFill>
      <xdr:spPr>
        <a:xfrm>
          <a:off x="3048000" y="552450"/>
          <a:ext cx="5179735" cy="138031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1152525</xdr:colOff>
      <xdr:row>0</xdr:row>
      <xdr:rowOff>28575</xdr:rowOff>
    </xdr:from>
    <xdr:ext cx="4248307" cy="2260108"/>
    <xdr:pic>
      <xdr:nvPicPr>
        <xdr:cNvPr id="2" name="Picture 1">
          <a:extLst>
            <a:ext uri="{FF2B5EF4-FFF2-40B4-BE49-F238E27FC236}">
              <a16:creationId xmlns:a16="http://schemas.microsoft.com/office/drawing/2014/main" id="{62FF6CAA-6132-4F63-935D-398125E26F50}"/>
            </a:ext>
          </a:extLst>
        </xdr:cNvPr>
        <xdr:cNvPicPr>
          <a:picLocks noChangeAspect="1"/>
        </xdr:cNvPicPr>
      </xdr:nvPicPr>
      <xdr:blipFill>
        <a:blip xmlns:r="http://schemas.openxmlformats.org/officeDocument/2006/relationships" r:embed="rId1"/>
        <a:stretch>
          <a:fillRect/>
        </a:stretch>
      </xdr:blipFill>
      <xdr:spPr>
        <a:xfrm>
          <a:off x="5826125" y="28575"/>
          <a:ext cx="4248307" cy="2260108"/>
        </a:xfrm>
        <a:prstGeom prst="rect">
          <a:avLst/>
        </a:prstGeom>
      </xdr:spPr>
    </xdr:pic>
    <xdr:clientData/>
  </xdr:oneCellAnchor>
  <xdr:oneCellAnchor>
    <xdr:from>
      <xdr:col>4</xdr:col>
      <xdr:colOff>1724025</xdr:colOff>
      <xdr:row>0</xdr:row>
      <xdr:rowOff>409575</xdr:rowOff>
    </xdr:from>
    <xdr:ext cx="5182275" cy="1371429"/>
    <xdr:pic>
      <xdr:nvPicPr>
        <xdr:cNvPr id="3" name="Picture 2">
          <a:extLst>
            <a:ext uri="{FF2B5EF4-FFF2-40B4-BE49-F238E27FC236}">
              <a16:creationId xmlns:a16="http://schemas.microsoft.com/office/drawing/2014/main" id="{E2D7A95F-3B9B-4A40-98C8-833A666BCC54}"/>
            </a:ext>
          </a:extLst>
        </xdr:cNvPr>
        <xdr:cNvPicPr>
          <a:picLocks noChangeAspect="1"/>
        </xdr:cNvPicPr>
      </xdr:nvPicPr>
      <xdr:blipFill>
        <a:blip xmlns:r="http://schemas.openxmlformats.org/officeDocument/2006/relationships" r:embed="rId2"/>
        <a:stretch>
          <a:fillRect/>
        </a:stretch>
      </xdr:blipFill>
      <xdr:spPr>
        <a:xfrm>
          <a:off x="11071225" y="180975"/>
          <a:ext cx="5182275" cy="137142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2</xdr:col>
      <xdr:colOff>1152525</xdr:colOff>
      <xdr:row>0</xdr:row>
      <xdr:rowOff>28575</xdr:rowOff>
    </xdr:from>
    <xdr:ext cx="4244904" cy="2260108"/>
    <xdr:pic>
      <xdr:nvPicPr>
        <xdr:cNvPr id="2" name="Picture 1">
          <a:extLst>
            <a:ext uri="{FF2B5EF4-FFF2-40B4-BE49-F238E27FC236}">
              <a16:creationId xmlns:a16="http://schemas.microsoft.com/office/drawing/2014/main" id="{B5A0C572-66BB-41B5-9A79-99A3E5CC215E}"/>
            </a:ext>
          </a:extLst>
        </xdr:cNvPr>
        <xdr:cNvPicPr>
          <a:picLocks noChangeAspect="1"/>
        </xdr:cNvPicPr>
      </xdr:nvPicPr>
      <xdr:blipFill>
        <a:blip xmlns:r="http://schemas.openxmlformats.org/officeDocument/2006/relationships" r:embed="rId1"/>
        <a:stretch>
          <a:fillRect/>
        </a:stretch>
      </xdr:blipFill>
      <xdr:spPr>
        <a:xfrm>
          <a:off x="5826125" y="28575"/>
          <a:ext cx="4244904" cy="2260108"/>
        </a:xfrm>
        <a:prstGeom prst="rect">
          <a:avLst/>
        </a:prstGeom>
      </xdr:spPr>
    </xdr:pic>
    <xdr:clientData/>
  </xdr:oneCellAnchor>
  <xdr:oneCellAnchor>
    <xdr:from>
      <xdr:col>4</xdr:col>
      <xdr:colOff>1724025</xdr:colOff>
      <xdr:row>0</xdr:row>
      <xdr:rowOff>409575</xdr:rowOff>
    </xdr:from>
    <xdr:ext cx="5187265" cy="1371429"/>
    <xdr:pic>
      <xdr:nvPicPr>
        <xdr:cNvPr id="3" name="Picture 2">
          <a:extLst>
            <a:ext uri="{FF2B5EF4-FFF2-40B4-BE49-F238E27FC236}">
              <a16:creationId xmlns:a16="http://schemas.microsoft.com/office/drawing/2014/main" id="{02D87317-CDA9-4B4C-B4CC-F1C5F6101FF1}"/>
            </a:ext>
          </a:extLst>
        </xdr:cNvPr>
        <xdr:cNvPicPr>
          <a:picLocks noChangeAspect="1"/>
        </xdr:cNvPicPr>
      </xdr:nvPicPr>
      <xdr:blipFill>
        <a:blip xmlns:r="http://schemas.openxmlformats.org/officeDocument/2006/relationships" r:embed="rId2"/>
        <a:stretch>
          <a:fillRect/>
        </a:stretch>
      </xdr:blipFill>
      <xdr:spPr>
        <a:xfrm>
          <a:off x="11071225" y="180975"/>
          <a:ext cx="5187265" cy="137142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2</xdr:col>
      <xdr:colOff>1152525</xdr:colOff>
      <xdr:row>0</xdr:row>
      <xdr:rowOff>28575</xdr:rowOff>
    </xdr:from>
    <xdr:ext cx="4248307" cy="2260108"/>
    <xdr:pic>
      <xdr:nvPicPr>
        <xdr:cNvPr id="2" name="Picture 1">
          <a:extLst>
            <a:ext uri="{FF2B5EF4-FFF2-40B4-BE49-F238E27FC236}">
              <a16:creationId xmlns:a16="http://schemas.microsoft.com/office/drawing/2014/main" id="{3A455501-9507-4777-912B-7C664685F545}"/>
            </a:ext>
          </a:extLst>
        </xdr:cNvPr>
        <xdr:cNvPicPr>
          <a:picLocks noChangeAspect="1"/>
        </xdr:cNvPicPr>
      </xdr:nvPicPr>
      <xdr:blipFill>
        <a:blip xmlns:r="http://schemas.openxmlformats.org/officeDocument/2006/relationships" r:embed="rId1"/>
        <a:stretch>
          <a:fillRect/>
        </a:stretch>
      </xdr:blipFill>
      <xdr:spPr>
        <a:xfrm>
          <a:off x="5826125" y="28575"/>
          <a:ext cx="4248307" cy="2260108"/>
        </a:xfrm>
        <a:prstGeom prst="rect">
          <a:avLst/>
        </a:prstGeom>
      </xdr:spPr>
    </xdr:pic>
    <xdr:clientData/>
  </xdr:oneCellAnchor>
  <xdr:oneCellAnchor>
    <xdr:from>
      <xdr:col>4</xdr:col>
      <xdr:colOff>1724025</xdr:colOff>
      <xdr:row>0</xdr:row>
      <xdr:rowOff>409575</xdr:rowOff>
    </xdr:from>
    <xdr:ext cx="5183862" cy="1371429"/>
    <xdr:pic>
      <xdr:nvPicPr>
        <xdr:cNvPr id="3" name="Picture 2">
          <a:extLst>
            <a:ext uri="{FF2B5EF4-FFF2-40B4-BE49-F238E27FC236}">
              <a16:creationId xmlns:a16="http://schemas.microsoft.com/office/drawing/2014/main" id="{38D80C5A-6DED-41DB-9C91-DE966D1EBD58}"/>
            </a:ext>
          </a:extLst>
        </xdr:cNvPr>
        <xdr:cNvPicPr>
          <a:picLocks noChangeAspect="1"/>
        </xdr:cNvPicPr>
      </xdr:nvPicPr>
      <xdr:blipFill>
        <a:blip xmlns:r="http://schemas.openxmlformats.org/officeDocument/2006/relationships" r:embed="rId2"/>
        <a:stretch>
          <a:fillRect/>
        </a:stretch>
      </xdr:blipFill>
      <xdr:spPr>
        <a:xfrm>
          <a:off x="11071225" y="180975"/>
          <a:ext cx="5183862" cy="137142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irectie\Directie%20-%20MT\Harrie%20Dijkstra\FPO\Risk-Assessment-NIMD%2006-2019%20(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Grants%20Management\Power%20of%20Dialogue\6.%20Planning\3.%20Annual%20Plan%202023\Final%20country%20annual%20plans\9.%20Kenya\Revised%20KENYA%20MT.NIMD%20Final_%20PoD%202023%20Risk%20Assesments%20V26.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Grants%20Management\Power%20of%20Dialogue\6.%20Planning\3.%20Annual%20Plan%202023\Final%20country%20annual%20plans\13.%20Myanmar\Annex%204.%20Updated%20Risk%20Assessment%20Framework_NIMD%20Myanmar_20221027.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Grants%20Management\Power%20of%20Dialogue\6.%20Planning\3.%20Annual%20Plan%202023\Final%20country%20annual%20plans\14.%20Guatemala\Copy%20of%20Annex%204%20-%20PoD%202022%20Risk%20Assesments%20Guatemala%20final%203110202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Grants%20Management\Power%20of%20Dialogue\6.%20Planning\3.%20Annual%20Plan%202023\Final%20country%20annual%20plans\15.%20Colombia\PMEL_Planning_2023_POD_RiskMatrix_FINAL.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nimddenhaag-my.sharepoint.com/personal/nathalirativa_nimd_org/Documents/Escritorio/Nathali%20R&#225;tiva%20M/L4P%20proyect/Annual%20Plan%20L4P%202022/20210506_PMEL_Planning_2023_L4P_RiskMatrix.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nimddenhaag-my.sharepoint.com/personal/danielbotello_nimd_org/Documents/2020/07_Fundraising/7.1_MFA/7.1.1_POV/7.1.1.2_PowerOfDialogue_CountryPlan/ToC%20Development%20sessions/Risk-Assessment-NIMD%2006-2019%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dol/Downloads/PoD%20Country%20Risk%20Assessment%20-%20Iraq.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oreeinstitut-my.sharepoint.com/personal/koassi_akakpo_goreeinstitut_org/Documents/2022/Power%20Of%20Dialogue/M&amp;E/Annual%20plan/Annex%204%20-%20PoD%202022%20Risk%20Assesmen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brasset/AppData/Local/Microsoft/Windows/INetCache/Content.Outlook/1X5PWGUY/Annex%204%20-%20PoD%202023%20Risk%20Assesments%20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Grants%20Management\Power%20of%20Dialogue\6.%20Planning\3.%20Annual%20Plan%202023\Final%20country%20annual%20plans\4.%20Mali\30.09.22_4.%20Mali%20-%20PoD%202022%20Risk%20Assesment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Grants%20Management\Power%20of%20Dialogue\6.%20Planning\3.%20Annual%20Plan%202023\Final%20country%20annual%20plans\5.%20Burkina%20Faso\BF%20Annex%204%20-%20PoD%202022%20Risk%20Assesment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user/Documents/Planification%202023/docs%20en%20fran&#231;ais/Annex%204%20-%20PoD%202022%20Risk%20Assesment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Grants%20Management\Power%20of%20Dialogue\6.%20Planning\3.%20Annual%20Plan%202023\Final%20country%20annual%20plans\7.%20Uganda\Annex%204%20-%20PoD%20UG-%20Risk%20Assesments-2023-updated%20Fin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Grants%20Management\Power%20of%20Dialogue\6.%20Planning\3.%20Annual%20Plan%202023\Final%20country%20annual%20plans\8.%20Ethiopia\Annex%204%20-%20PoD%202023%20Risk%20Assesments%20Ethiopia_27%20October%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2019"/>
      <sheetName val="Risk Assessment"/>
      <sheetName val="Ratings"/>
    </sheetNames>
    <sheetDataSet>
      <sheetData sheetId="0" refreshError="1"/>
      <sheetData sheetId="1" refreshError="1"/>
      <sheetData sheetId="2">
        <row r="5">
          <cell r="B5" t="str">
            <v>Unlikely</v>
          </cell>
        </row>
        <row r="6">
          <cell r="B6" t="str">
            <v>Possible</v>
          </cell>
        </row>
        <row r="7">
          <cell r="B7" t="str">
            <v>Likely</v>
          </cell>
        </row>
        <row r="8">
          <cell r="B8" t="str">
            <v>Highly likely</v>
          </cell>
        </row>
        <row r="9">
          <cell r="B9" t="str">
            <v>Certain/Imminent</v>
          </cell>
        </row>
        <row r="12">
          <cell r="B12" t="str">
            <v>Negligible</v>
          </cell>
        </row>
        <row r="13">
          <cell r="B13" t="str">
            <v>Minor</v>
          </cell>
        </row>
        <row r="14">
          <cell r="B14" t="str">
            <v>Moderate</v>
          </cell>
        </row>
        <row r="15">
          <cell r="B15" t="str">
            <v>Severe</v>
          </cell>
        </row>
        <row r="16">
          <cell r="B16" t="str">
            <v>Critical</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Ratings"/>
    </sheetNames>
    <sheetDataSet>
      <sheetData sheetId="0" refreshError="1"/>
      <sheetData sheetId="1">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Mozambique"/>
      <sheetName val="Guatemala"/>
      <sheetName val="Colombia"/>
      <sheetName val="Ethiopia"/>
      <sheetName val="Rat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row r="28">
          <cell r="B28">
            <v>4</v>
          </cell>
        </row>
        <row r="29">
          <cell r="B29">
            <v>5</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Ethiopia"/>
      <sheetName val="Mozambique"/>
      <sheetName val="Colombia"/>
      <sheetName val="Myanmar"/>
      <sheetName val="Rat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row r="28">
          <cell r="B28">
            <v>4</v>
          </cell>
        </row>
        <row r="29">
          <cell r="B29">
            <v>5</v>
          </cell>
        </row>
        <row r="30">
          <cell r="B30">
            <v>6</v>
          </cell>
        </row>
        <row r="31">
          <cell r="B31">
            <v>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ings"/>
    </sheetNames>
    <sheetDataSet>
      <sheetData sheetId="0">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B20">
            <v>1</v>
          </cell>
          <cell r="H20" t="str">
            <v>Highly likelyModerate</v>
          </cell>
          <cell r="I20" t="str">
            <v>Orange</v>
          </cell>
        </row>
        <row r="21">
          <cell r="B21">
            <v>2</v>
          </cell>
          <cell r="H21" t="str">
            <v>Highly likelySevere</v>
          </cell>
          <cell r="I21" t="str">
            <v>Red</v>
          </cell>
        </row>
        <row r="22">
          <cell r="B22">
            <v>3</v>
          </cell>
          <cell r="H22" t="str">
            <v>Highly likelyCritical</v>
          </cell>
          <cell r="I22" t="str">
            <v>Red</v>
          </cell>
        </row>
        <row r="23">
          <cell r="H23" t="str">
            <v>Certain/ImminentNegligible</v>
          </cell>
          <cell r="I23" t="str">
            <v>Yellow</v>
          </cell>
        </row>
        <row r="24">
          <cell r="H24" t="str">
            <v>Certain/ImminentMinor</v>
          </cell>
          <cell r="I24" t="str">
            <v>Orange</v>
          </cell>
        </row>
        <row r="25">
          <cell r="H25" t="str">
            <v>Certain/ImminentModerate</v>
          </cell>
          <cell r="I25" t="str">
            <v>Orange</v>
          </cell>
        </row>
        <row r="26">
          <cell r="H26" t="str">
            <v>Certain/ImminentSevere</v>
          </cell>
          <cell r="I26" t="str">
            <v>Red</v>
          </cell>
        </row>
        <row r="27">
          <cell r="H27" t="str">
            <v>Certain/ImminentCritical</v>
          </cell>
          <cell r="I27" t="str">
            <v>Red</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2021"/>
      <sheetName val="Ratings"/>
    </sheetNames>
    <sheetDataSet>
      <sheetData sheetId="0"/>
      <sheetData sheetId="1">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B20">
            <v>1</v>
          </cell>
          <cell r="H20" t="str">
            <v>Highly likelyModerate</v>
          </cell>
          <cell r="I20" t="str">
            <v>Orange</v>
          </cell>
        </row>
        <row r="21">
          <cell r="B21">
            <v>2</v>
          </cell>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H25" t="str">
            <v>Certain/ImminentModerate</v>
          </cell>
          <cell r="I25" t="str">
            <v>Orange</v>
          </cell>
        </row>
        <row r="26">
          <cell r="H26" t="str">
            <v>Certain/ImminentSevere</v>
          </cell>
          <cell r="I26" t="str">
            <v>Red</v>
          </cell>
        </row>
        <row r="27">
          <cell r="H27" t="str">
            <v>Certain/ImminentCritical</v>
          </cell>
          <cell r="I27" t="str">
            <v>Red</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2019"/>
      <sheetName val="Risk Assessment"/>
      <sheetName val="Ratings"/>
    </sheetNames>
    <sheetDataSet>
      <sheetData sheetId="0" refreshError="1"/>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ings"/>
      <sheetName val="PoD Country Risk Assessement"/>
      <sheetName val="Risk categories"/>
      <sheetName val="Responsibilities per country"/>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Ethiopia"/>
      <sheetName val="Mozambique"/>
      <sheetName val="Guatemala"/>
      <sheetName val="Colombia"/>
      <sheetName val="Myanmar"/>
      <sheetName val="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Ratings"/>
    </sheetNames>
    <sheetDataSet>
      <sheetData sheetId="0" refreshError="1"/>
      <sheetData sheetId="1">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row r="28">
          <cell r="B28">
            <v>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Overall"/>
      <sheetName val="Burkina Faso"/>
      <sheetName val="Niger"/>
      <sheetName val="Senegal"/>
      <sheetName val="Tunisia"/>
      <sheetName val="Jordan"/>
      <sheetName val="Iraq"/>
      <sheetName val="Uganda"/>
      <sheetName val="Kenya"/>
      <sheetName val="Ethiopia"/>
      <sheetName val="Mozambique"/>
      <sheetName val="Guatemala"/>
      <sheetName val="Colombia"/>
      <sheetName val="Myanmar"/>
      <sheetName val="Rat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row r="28">
          <cell r="B28">
            <v>4</v>
          </cell>
        </row>
        <row r="29">
          <cell r="B29">
            <v>5</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Overall"/>
      <sheetName val="Mali"/>
      <sheetName val="Niger"/>
      <sheetName val="Senegal"/>
      <sheetName val="Tunisia"/>
      <sheetName val="Jordan"/>
      <sheetName val="Uganda"/>
      <sheetName val="Kenya"/>
      <sheetName val="Ethiopia"/>
      <sheetName val="Mozambique"/>
      <sheetName val="Guatemala"/>
      <sheetName val="Colombia"/>
      <sheetName val="Myanmar"/>
      <sheetName val="Rat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row r="28">
          <cell r="B28">
            <v>4</v>
          </cell>
        </row>
        <row r="29">
          <cell r="B29">
            <v>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Ethiopia"/>
      <sheetName val="Mozambique"/>
      <sheetName val="Guatemala"/>
      <sheetName val="Colombia"/>
      <sheetName val="Myanmar"/>
      <sheetName val="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Ratings"/>
    </sheetNames>
    <sheetDataSet>
      <sheetData sheetId="0" refreshError="1"/>
      <sheetData sheetId="1">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row r="28">
          <cell r="B28">
            <v>4</v>
          </cell>
        </row>
        <row r="29">
          <cell r="B29">
            <v>5</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Mozambique"/>
      <sheetName val="Guatemala"/>
      <sheetName val="Colombia"/>
      <sheetName val="Myanmar"/>
      <sheetName val="Rat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row r="28">
          <cell r="B28">
            <v>4</v>
          </cell>
        </row>
      </sheetData>
    </sheetDataSet>
  </externalBook>
</externalLink>
</file>

<file path=xl/persons/person.xml><?xml version="1.0" encoding="utf-8"?>
<personList xmlns="http://schemas.microsoft.com/office/spreadsheetml/2018/threadedcomments" xmlns:x="http://schemas.openxmlformats.org/spreadsheetml/2006/main">
  <person displayName="Rita Argueta V." id="{3A01C054-C722-41D5-8122-051807E8C645}" userId="Rita Argueta V." providerId="None"/>
  <person displayName="Tayuh Ngenge" id="{6D175819-1511-42FB-A23F-6678A766FF9B}" userId="S::TayuhNgenge@nimd.org::1466af77-9d4e-4966-9a0a-37c6e350c648" providerId="AD"/>
  <person displayName="Daniela Montero" id="{FF8F000D-F954-41D7-97DC-4CBDD5A8748B}" userId="S::DanielaMontero@nimd.org::ec58655b-4142-46f0-9d69-dbcbd8ac3f6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kelihood" displayName="Likelihood" ref="B4:B9" totalsRowShown="0" headerRowDxfId="283" dataDxfId="281" headerRowBorderDxfId="282" tableBorderDxfId="280" totalsRowBorderDxfId="279">
  <autoFilter ref="B4:B9" xr:uid="{00000000-0009-0000-0100-000001000000}"/>
  <tableColumns count="1">
    <tableColumn id="1" xr3:uid="{00000000-0010-0000-0000-000001000000}" name="Likelihood" dataDxfId="27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Impact" displayName="Impact" ref="B11:B16" totalsRowShown="0" headerRowDxfId="277" dataDxfId="275" headerRowBorderDxfId="276" tableBorderDxfId="274" totalsRowBorderDxfId="273">
  <autoFilter ref="B11:B16" xr:uid="{00000000-0009-0000-0100-000002000000}"/>
  <tableColumns count="1">
    <tableColumn id="1" xr3:uid="{00000000-0010-0000-0100-000001000000}" name="Impact" dataDxfId="27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 dT="2022-10-17T14:11:40.83" personId="{6D175819-1511-42FB-A23F-6678A766FF9B}" id="{D3DA2E2C-26DC-488E-8F7C-25EC52BD8923}">
    <text>I would elaborate a bit more on the second sentence. How exactly does ongoing tensions impact the programme?</text>
  </threadedComment>
  <threadedComment ref="D7" dT="2022-10-17T14:17:04.65" personId="{6D175819-1511-42FB-A23F-6678A766FF9B}" id="{AAE05C41-6519-4727-A355-AF54BF6EF781}">
    <text>I rthink we could say more on this hear. What are the different scenarios that might play out in the case of a change in  political leadership? Increased violence and instability ? Or the reverse? What does either scenario mean for the programme</text>
  </threadedComment>
  <threadedComment ref="H11" dT="2022-10-17T14:27:26.13" personId="{6D175819-1511-42FB-A23F-6678A766FF9B}" id="{6C05CF6E-1EFB-4FC9-884B-78D8288A986C}">
    <text>Also aadd the need to ensure our every action, internally  and externally is guided by our core values of inclusivity and impartilaity</text>
  </threadedComment>
</ThreadedComments>
</file>

<file path=xl/threadedComments/threadedComment2.xml><?xml version="1.0" encoding="utf-8"?>
<ThreadedComments xmlns="http://schemas.microsoft.com/office/spreadsheetml/2018/threadedcomments" xmlns:x="http://schemas.openxmlformats.org/spreadsheetml/2006/main">
  <threadedComment ref="C8" dT="2022-10-19T12:48:33.11" personId="{FF8F000D-F954-41D7-97DC-4CBDD5A8748B}" id="{DE4960D8-5732-465B-8634-FE4237F959CD}">
    <text xml:space="preserve">Creen que deberíamos incluir algo sobre "Natural Disasters"? 
Tal vez algo así:
Centralamerica is heavily affected by hurricanes and other natural disasters which affects the wellbeing of the people we work </text>
  </threadedComment>
  <threadedComment ref="C8" dT="2022-10-31T13:56:13.70" personId="{3A01C054-C722-41D5-8122-051807E8C645}" id="{92D8B14D-F97B-4CE9-899D-672CA3059C40}" parentId="{DE4960D8-5732-465B-8634-FE4237F959CD}">
    <text>De acuerdo! muy latente en los segundos semestres de año</text>
  </threadedComment>
  <threadedComment ref="C22" dT="2022-10-19T12:50:21.90" personId="{FF8F000D-F954-41D7-97DC-4CBDD5A8748B}" id="{816A2B5A-96E3-461E-812A-EA69CD8A9B6F}">
    <text xml:space="preserve">Yo aquí lo haría un poco más fuerte en que esto puede "jeopardize civic actors' safety and security"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3.xml"/><Relationship Id="rId4" Type="http://schemas.microsoft.com/office/2017/10/relationships/threadedComment" Target="../threadedComments/threadedComment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9"/>
  <sheetViews>
    <sheetView showGridLines="0" zoomScaleNormal="100" workbookViewId="0">
      <selection activeCell="E4" sqref="E4"/>
    </sheetView>
  </sheetViews>
  <sheetFormatPr defaultColWidth="33.453125" defaultRowHeight="14.5" x14ac:dyDescent="0.35"/>
  <cols>
    <col min="1" max="1" width="2" customWidth="1"/>
    <col min="2" max="2" width="5.1796875" bestFit="1" customWidth="1"/>
    <col min="3" max="3" width="34.1796875" customWidth="1"/>
    <col min="4" max="4" width="40.81640625" customWidth="1"/>
    <col min="5" max="5" width="20.7265625" customWidth="1"/>
    <col min="6" max="6" width="19.453125" customWidth="1"/>
    <col min="7" max="7" width="14.7265625" style="21" customWidth="1"/>
    <col min="8" max="8" width="43.7265625" customWidth="1"/>
    <col min="11" max="11" width="4.81640625" customWidth="1"/>
  </cols>
  <sheetData>
    <row r="1" spans="2:11" ht="187.5" customHeight="1" x14ac:dyDescent="0.35"/>
    <row r="2" spans="2:11" x14ac:dyDescent="0.35">
      <c r="B2" s="8" t="s">
        <v>17</v>
      </c>
      <c r="C2" s="9" t="s">
        <v>18</v>
      </c>
      <c r="D2" s="8" t="s">
        <v>26</v>
      </c>
      <c r="E2" s="8" t="s">
        <v>2</v>
      </c>
      <c r="F2" s="8" t="s">
        <v>20</v>
      </c>
      <c r="G2" s="8" t="s">
        <v>27</v>
      </c>
      <c r="H2" s="10" t="s">
        <v>19</v>
      </c>
      <c r="K2" s="3"/>
    </row>
    <row r="3" spans="2:11" x14ac:dyDescent="0.35">
      <c r="B3" s="11">
        <v>1</v>
      </c>
      <c r="C3" s="34" t="s">
        <v>22</v>
      </c>
      <c r="D3" s="35"/>
      <c r="E3" s="35"/>
      <c r="F3" s="35"/>
      <c r="G3" s="35"/>
      <c r="H3" s="36"/>
      <c r="K3" s="4"/>
    </row>
    <row r="4" spans="2:11" x14ac:dyDescent="0.35">
      <c r="B4" s="12" t="str">
        <f>$B$3&amp;"."&amp;Ratings!B25</f>
        <v>1.1</v>
      </c>
      <c r="C4" s="13"/>
      <c r="D4" s="14"/>
      <c r="E4" s="12"/>
      <c r="F4" s="12"/>
      <c r="G4" s="20"/>
      <c r="H4" s="14"/>
      <c r="K4" s="4">
        <f>IFERROR(VLOOKUP(CONCATENATE(E4,F4),Ratings!$H$3:$I$27,2,FALSE),)</f>
        <v>0</v>
      </c>
    </row>
    <row r="5" spans="2:11" x14ac:dyDescent="0.35">
      <c r="B5" s="12" t="str">
        <f>$B$3&amp;"."&amp;Ratings!B26</f>
        <v>1.2</v>
      </c>
      <c r="C5" s="13"/>
      <c r="D5" s="14"/>
      <c r="E5" s="12"/>
      <c r="F5" s="12"/>
      <c r="G5" s="20"/>
      <c r="H5" s="14"/>
      <c r="K5" s="4">
        <f>IFERROR(VLOOKUP(CONCATENATE(E5,F5),Ratings!$H$3:$I$27,2,FALSE),)</f>
        <v>0</v>
      </c>
    </row>
    <row r="6" spans="2:11" x14ac:dyDescent="0.35">
      <c r="B6" s="12" t="str">
        <f>$B$3&amp;"."&amp;Ratings!B27</f>
        <v>1.3</v>
      </c>
      <c r="C6" s="13"/>
      <c r="D6" s="14"/>
      <c r="E6" s="12"/>
      <c r="F6" s="12"/>
      <c r="G6" s="20"/>
      <c r="H6" s="14"/>
      <c r="K6" s="4">
        <f>IFERROR(VLOOKUP(CONCATENATE(E6,F6),Ratings!$H$3:$I$27,2,FALSE),)</f>
        <v>0</v>
      </c>
    </row>
    <row r="7" spans="2:11" x14ac:dyDescent="0.35">
      <c r="B7" s="12" t="str">
        <f>$B$3&amp;"."&amp;Ratings!B28</f>
        <v>1.4</v>
      </c>
      <c r="C7" s="13"/>
      <c r="D7" s="14"/>
      <c r="E7" s="12"/>
      <c r="F7" s="12"/>
      <c r="G7" s="20"/>
      <c r="H7" s="14"/>
      <c r="K7" s="4">
        <f>IFERROR(VLOOKUP(CONCATENATE(E7,F7),Ratings!$H$3:$I$27,2,FALSE),)</f>
        <v>0</v>
      </c>
    </row>
    <row r="8" spans="2:11" x14ac:dyDescent="0.35">
      <c r="B8" s="12" t="str">
        <f>$B$3&amp;"."&amp;Ratings!B29</f>
        <v>1.5</v>
      </c>
      <c r="C8" s="19"/>
      <c r="D8" s="14"/>
      <c r="E8" s="12"/>
      <c r="F8" s="12"/>
      <c r="G8" s="20"/>
      <c r="H8" s="15"/>
      <c r="K8" s="4">
        <f>IFERROR(VLOOKUP(CONCATENATE(E8,F8),Ratings!$H$3:$I$27,2,FALSE),)</f>
        <v>0</v>
      </c>
    </row>
    <row r="9" spans="2:11" x14ac:dyDescent="0.35">
      <c r="B9" s="11">
        <v>2</v>
      </c>
      <c r="C9" s="34" t="s">
        <v>23</v>
      </c>
      <c r="D9" s="35"/>
      <c r="E9" s="35"/>
      <c r="F9" s="35"/>
      <c r="G9" s="35"/>
      <c r="H9" s="36"/>
      <c r="K9" s="4">
        <f>IFERROR(VLOOKUP(CONCATENATE(E9,F9),Ratings!$H$3:$I$27,2,FALSE),)</f>
        <v>0</v>
      </c>
    </row>
    <row r="10" spans="2:11" x14ac:dyDescent="0.35">
      <c r="B10" s="12" t="str">
        <f>$B$9&amp;"."&amp;Ratings!B25</f>
        <v>2.1</v>
      </c>
      <c r="C10" s="13"/>
      <c r="D10" s="14"/>
      <c r="E10" s="12"/>
      <c r="F10" s="12"/>
      <c r="G10" s="20"/>
      <c r="H10" s="14"/>
      <c r="K10" s="4">
        <f>IFERROR(VLOOKUP(CONCATENATE(E10,F10),Ratings!$H$3:$I$27,2,FALSE),)</f>
        <v>0</v>
      </c>
    </row>
    <row r="11" spans="2:11" x14ac:dyDescent="0.35">
      <c r="B11" s="12" t="str">
        <f>$B$9&amp;"."&amp;Ratings!B26</f>
        <v>2.2</v>
      </c>
      <c r="C11" s="13"/>
      <c r="D11" s="14"/>
      <c r="E11" s="12"/>
      <c r="F11" s="12"/>
      <c r="G11" s="20"/>
      <c r="H11" s="14"/>
      <c r="K11" s="4">
        <f>IFERROR(VLOOKUP(CONCATENATE(E11,F11),Ratings!$H$3:$I$27,2,FALSE),)</f>
        <v>0</v>
      </c>
    </row>
    <row r="12" spans="2:11" x14ac:dyDescent="0.35">
      <c r="B12" s="12" t="str">
        <f>$B$9&amp;"."&amp;Ratings!B27</f>
        <v>2.3</v>
      </c>
      <c r="C12" s="13"/>
      <c r="D12" s="14"/>
      <c r="E12" s="12"/>
      <c r="F12" s="12"/>
      <c r="G12" s="20"/>
      <c r="H12" s="14"/>
      <c r="K12" s="4">
        <f>IFERROR(VLOOKUP(CONCATENATE(E12,F12),Ratings!$H$3:$I$27,2,FALSE),)</f>
        <v>0</v>
      </c>
    </row>
    <row r="13" spans="2:11" x14ac:dyDescent="0.35">
      <c r="B13" s="12" t="str">
        <f>$B$9&amp;"."&amp;Ratings!B28</f>
        <v>2.4</v>
      </c>
      <c r="C13" s="13"/>
      <c r="D13" s="14"/>
      <c r="E13" s="12"/>
      <c r="F13" s="12"/>
      <c r="G13" s="20"/>
      <c r="H13" s="15"/>
      <c r="K13" s="4">
        <f>IFERROR(VLOOKUP(CONCATENATE(E13,F13),Ratings!$H$3:$I$27,2,FALSE),)</f>
        <v>0</v>
      </c>
    </row>
    <row r="14" spans="2:11" x14ac:dyDescent="0.35">
      <c r="B14" s="11">
        <v>3</v>
      </c>
      <c r="C14" s="34" t="s">
        <v>24</v>
      </c>
      <c r="D14" s="35"/>
      <c r="E14" s="35"/>
      <c r="F14" s="35"/>
      <c r="G14" s="35"/>
      <c r="H14" s="36"/>
      <c r="K14" s="4">
        <f>IFERROR(VLOOKUP(CONCATENATE(E14,F14),Ratings!$H$3:$I$27,2,FALSE),)</f>
        <v>0</v>
      </c>
    </row>
    <row r="15" spans="2:11" x14ac:dyDescent="0.35">
      <c r="B15" s="12" t="str">
        <f>$B$14&amp;"."&amp;Ratings!B25</f>
        <v>3.1</v>
      </c>
      <c r="C15" s="13"/>
      <c r="D15" s="14"/>
      <c r="E15" s="12"/>
      <c r="F15" s="12"/>
      <c r="G15" s="20"/>
      <c r="H15" s="14"/>
      <c r="K15" s="4">
        <f>IFERROR(VLOOKUP(CONCATENATE(E15,F15),Ratings!$H$3:$I$27,2,FALSE),)</f>
        <v>0</v>
      </c>
    </row>
    <row r="16" spans="2:11" x14ac:dyDescent="0.35">
      <c r="B16" s="12" t="str">
        <f>$B$14&amp;"."&amp;Ratings!B26</f>
        <v>3.2</v>
      </c>
      <c r="C16" s="13"/>
      <c r="D16" s="14"/>
      <c r="E16" s="12"/>
      <c r="F16" s="12"/>
      <c r="G16" s="20"/>
      <c r="H16" s="14"/>
      <c r="K16" s="4">
        <f>IFERROR(VLOOKUP(CONCATENATE(E16,F16),Ratings!$H$3:$I$27,2,FALSE),)</f>
        <v>0</v>
      </c>
    </row>
    <row r="17" spans="2:11" x14ac:dyDescent="0.35">
      <c r="B17" s="12" t="str">
        <f>$B$14&amp;"."&amp;Ratings!B27</f>
        <v>3.3</v>
      </c>
      <c r="C17" s="13"/>
      <c r="D17" s="14"/>
      <c r="E17" s="12"/>
      <c r="F17" s="12"/>
      <c r="G17" s="20"/>
      <c r="H17" s="14"/>
      <c r="K17" s="4">
        <f>IFERROR(VLOOKUP(CONCATENATE(E17,F17),Ratings!$H$3:$I$27,2,FALSE),)</f>
        <v>0</v>
      </c>
    </row>
    <row r="18" spans="2:11" x14ac:dyDescent="0.35">
      <c r="B18" s="12" t="str">
        <f>$B$14&amp;"."&amp;Ratings!B28</f>
        <v>3.4</v>
      </c>
      <c r="C18" s="13"/>
      <c r="D18" s="14"/>
      <c r="E18" s="12"/>
      <c r="F18" s="12"/>
      <c r="G18" s="20"/>
      <c r="H18" s="14"/>
      <c r="K18" s="4">
        <f>IFERROR(VLOOKUP(CONCATENATE(E18,F18),Ratings!$H$3:$I$27,2,FALSE),)</f>
        <v>0</v>
      </c>
    </row>
    <row r="19" spans="2:11" x14ac:dyDescent="0.35">
      <c r="B19" s="12" t="str">
        <f>$B$14&amp;"."&amp;Ratings!B29</f>
        <v>3.5</v>
      </c>
      <c r="C19" s="13"/>
      <c r="D19" s="14"/>
      <c r="E19" s="12"/>
      <c r="F19" s="12"/>
      <c r="G19" s="20"/>
      <c r="H19" s="14"/>
      <c r="K19" s="4">
        <f>IFERROR(VLOOKUP(CONCATENATE(E19,F19),Ratings!$H$3:$I$27,2,FALSE),)</f>
        <v>0</v>
      </c>
    </row>
    <row r="20" spans="2:11" x14ac:dyDescent="0.35">
      <c r="B20" s="12" t="str">
        <f>$B$14&amp;"."&amp;Ratings!B30</f>
        <v>3.6</v>
      </c>
      <c r="C20" s="13"/>
      <c r="D20" s="14"/>
      <c r="E20" s="12"/>
      <c r="F20" s="12"/>
      <c r="G20" s="20"/>
      <c r="H20" s="14"/>
      <c r="K20" s="4">
        <f>IFERROR(VLOOKUP(CONCATENATE(E20,F20),Ratings!$H$3:$I$27,2,FALSE),)</f>
        <v>0</v>
      </c>
    </row>
    <row r="21" spans="2:11" x14ac:dyDescent="0.35">
      <c r="B21" s="12" t="str">
        <f>$B$14&amp;"."&amp;Ratings!B31</f>
        <v>3.7</v>
      </c>
      <c r="C21" s="13"/>
      <c r="D21" s="14"/>
      <c r="E21" s="12"/>
      <c r="F21" s="12"/>
      <c r="G21" s="20"/>
      <c r="H21" s="14"/>
      <c r="K21" s="4">
        <f>IFERROR(VLOOKUP(CONCATENATE(E21,F21),Ratings!$H$3:$I$27,2,FALSE),)</f>
        <v>0</v>
      </c>
    </row>
    <row r="22" spans="2:11" x14ac:dyDescent="0.35">
      <c r="B22" s="11">
        <v>4</v>
      </c>
      <c r="C22" s="34" t="s">
        <v>25</v>
      </c>
      <c r="D22" s="35"/>
      <c r="E22" s="35"/>
      <c r="F22" s="35"/>
      <c r="G22" s="35"/>
      <c r="H22" s="36"/>
      <c r="K22" s="4">
        <f>IFERROR(VLOOKUP(CONCATENATE(E22,F22),Ratings!$H$3:$I$27,2,FALSE),)</f>
        <v>0</v>
      </c>
    </row>
    <row r="23" spans="2:11" x14ac:dyDescent="0.35">
      <c r="B23" s="12" t="str">
        <f>$B$22&amp;"."&amp;Ratings!B25</f>
        <v>4.1</v>
      </c>
      <c r="C23" s="13"/>
      <c r="D23" s="14"/>
      <c r="E23" s="12"/>
      <c r="F23" s="12"/>
      <c r="G23" s="20"/>
      <c r="H23" s="14"/>
      <c r="K23" s="4">
        <f>IFERROR(VLOOKUP(CONCATENATE(E23,F23),Ratings!$H$3:$I$27,2,FALSE),)</f>
        <v>0</v>
      </c>
    </row>
    <row r="24" spans="2:11" x14ac:dyDescent="0.35">
      <c r="B24" s="12" t="str">
        <f>$B$22&amp;"."&amp;Ratings!B26</f>
        <v>4.2</v>
      </c>
      <c r="C24" s="13"/>
      <c r="D24" s="14"/>
      <c r="E24" s="12"/>
      <c r="F24" s="12"/>
      <c r="G24" s="20"/>
      <c r="H24" s="14"/>
      <c r="K24" s="4">
        <f>IFERROR(VLOOKUP(CONCATENATE(E24,F24),Ratings!$H$3:$I$27,2,FALSE),)</f>
        <v>0</v>
      </c>
    </row>
    <row r="25" spans="2:11" x14ac:dyDescent="0.35">
      <c r="B25" s="12" t="str">
        <f>$B$22&amp;"."&amp;Ratings!B27</f>
        <v>4.3</v>
      </c>
      <c r="C25" s="13"/>
      <c r="D25" s="14"/>
      <c r="E25" s="12"/>
      <c r="F25" s="12"/>
      <c r="G25" s="20"/>
      <c r="H25" s="14"/>
      <c r="K25" s="4">
        <f>IFERROR(VLOOKUP(CONCATENATE(E25,F25),Ratings!$H$3:$I$27,2,FALSE),)</f>
        <v>0</v>
      </c>
    </row>
    <row r="26" spans="2:11" x14ac:dyDescent="0.35">
      <c r="B26" s="12" t="str">
        <f>$B$22&amp;"."&amp;Ratings!B28</f>
        <v>4.4</v>
      </c>
      <c r="C26" s="13"/>
      <c r="D26" s="14"/>
      <c r="E26" s="12"/>
      <c r="F26" s="12"/>
      <c r="G26" s="20"/>
      <c r="H26" s="14"/>
      <c r="K26" s="4">
        <f>IFERROR(VLOOKUP(CONCATENATE(E26,F26),Ratings!$H$3:$I$27,2,FALSE),)</f>
        <v>0</v>
      </c>
    </row>
    <row r="27" spans="2:11" x14ac:dyDescent="0.35">
      <c r="B27" s="12" t="str">
        <f>$B$22&amp;"."&amp;Ratings!B29</f>
        <v>4.5</v>
      </c>
      <c r="C27" s="13"/>
      <c r="D27" s="14"/>
      <c r="E27" s="12"/>
      <c r="F27" s="12"/>
      <c r="G27" s="20"/>
      <c r="H27" s="14"/>
      <c r="K27" s="4">
        <f>IFERROR(VLOOKUP(CONCATENATE(E27,F27),Ratings!$H$3:$I$27,2,FALSE),)</f>
        <v>0</v>
      </c>
    </row>
    <row r="28" spans="2:11" x14ac:dyDescent="0.35">
      <c r="B28" s="12" t="str">
        <f>$B$22&amp;"."&amp;Ratings!B30</f>
        <v>4.6</v>
      </c>
      <c r="C28" s="13"/>
      <c r="D28" s="14"/>
      <c r="E28" s="12"/>
      <c r="F28" s="12"/>
      <c r="G28" s="20"/>
      <c r="H28" s="14"/>
      <c r="K28" s="4">
        <f>IFERROR(VLOOKUP(CONCATENATE(E28,F28),Ratings!$H$3:$I$27,2,FALSE),)</f>
        <v>0</v>
      </c>
    </row>
    <row r="29" spans="2:11" x14ac:dyDescent="0.35">
      <c r="B29" s="12" t="str">
        <f>$B$22&amp;"."&amp;Ratings!B31</f>
        <v>4.7</v>
      </c>
      <c r="C29" s="13"/>
      <c r="D29" s="14"/>
      <c r="E29" s="12"/>
      <c r="F29" s="12"/>
      <c r="G29" s="20"/>
      <c r="H29" s="14"/>
      <c r="K29" s="4">
        <f>IFERROR(VLOOKUP(CONCATENATE(E29,F29),Ratings!$H$3:$I$27,2,FALSE),)</f>
        <v>0</v>
      </c>
    </row>
  </sheetData>
  <mergeCells count="4">
    <mergeCell ref="C9:H9"/>
    <mergeCell ref="C3:H3"/>
    <mergeCell ref="C14:H14"/>
    <mergeCell ref="C22:H22"/>
  </mergeCells>
  <conditionalFormatting sqref="B1:B20 B22:B1048576">
    <cfRule type="expression" dxfId="271" priority="132">
      <formula>K1="Red"</formula>
    </cfRule>
    <cfRule type="expression" dxfId="270" priority="133">
      <formula>K1="Orange"</formula>
    </cfRule>
    <cfRule type="expression" dxfId="269" priority="134">
      <formula>K1="Yellow"</formula>
    </cfRule>
    <cfRule type="expression" dxfId="268" priority="135">
      <formula>K1="Green"</formula>
    </cfRule>
  </conditionalFormatting>
  <conditionalFormatting sqref="B21">
    <cfRule type="expression" dxfId="267" priority="6">
      <formula>K21="Red"</formula>
    </cfRule>
    <cfRule type="expression" dxfId="266" priority="7">
      <formula>K21="Orange"</formula>
    </cfRule>
    <cfRule type="expression" dxfId="265" priority="8">
      <formula>K21="Yellow"</formula>
    </cfRule>
    <cfRule type="expression" dxfId="264" priority="9">
      <formula>K21="Green"</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41" operator="equal" id="{18EAC473-A86A-4047-B93B-CB10D6AA3F6C}">
            <xm:f>Ratings!$B$9</xm:f>
            <x14:dxf>
              <fill>
                <patternFill>
                  <bgColor rgb="FFFF0000"/>
                </patternFill>
              </fill>
            </x14:dxf>
          </x14:cfRule>
          <x14:cfRule type="cellIs" priority="142" operator="equal" id="{AA935689-A87A-43A3-BB5D-E7BCBF5FDFD1}">
            <xm:f>Ratings!$B$8</xm:f>
            <x14:dxf>
              <fill>
                <patternFill>
                  <bgColor theme="5" tint="0.39994506668294322"/>
                </patternFill>
              </fill>
            </x14:dxf>
          </x14:cfRule>
          <x14:cfRule type="cellIs" priority="143" operator="equal" id="{75A35584-4BCB-4116-818B-1BAE48370F26}">
            <xm:f>Ratings!$B$7</xm:f>
            <x14:dxf>
              <fill>
                <patternFill>
                  <bgColor theme="7" tint="0.39994506668294322"/>
                </patternFill>
              </fill>
            </x14:dxf>
          </x14:cfRule>
          <x14:cfRule type="cellIs" priority="144" operator="equal" id="{ED772F57-062C-4F0E-94CD-B3E9025087A6}">
            <xm:f>Ratings!$B$6</xm:f>
            <x14:dxf>
              <fill>
                <patternFill>
                  <bgColor theme="9" tint="0.39994506668294322"/>
                </patternFill>
              </fill>
            </x14:dxf>
          </x14:cfRule>
          <x14:cfRule type="cellIs" priority="150" operator="equal" id="{23E6AE4A-E3A4-430C-8D6A-7A636B01001B}">
            <xm:f>Ratings!$B$5</xm:f>
            <x14:dxf>
              <fill>
                <patternFill>
                  <bgColor rgb="FF92D050"/>
                </patternFill>
              </fill>
            </x14:dxf>
          </x14:cfRule>
          <xm:sqref>E22:E1048576 E1:E20</xm:sqref>
        </x14:conditionalFormatting>
        <x14:conditionalFormatting xmlns:xm="http://schemas.microsoft.com/office/excel/2006/main">
          <x14:cfRule type="cellIs" priority="136" operator="equal" id="{74E21591-E27F-4BCD-BD2A-ECD88737A1AA}">
            <xm:f>Ratings!$B$16</xm:f>
            <x14:dxf>
              <fill>
                <patternFill>
                  <bgColor rgb="FFFF0000"/>
                </patternFill>
              </fill>
            </x14:dxf>
          </x14:cfRule>
          <x14:cfRule type="cellIs" priority="137" operator="equal" id="{E9CA8E09-9D6A-4F2A-9612-3CE478CD0C8C}">
            <xm:f>Ratings!$B$15</xm:f>
            <x14:dxf>
              <fill>
                <patternFill>
                  <bgColor theme="5" tint="0.39994506668294322"/>
                </patternFill>
              </fill>
            </x14:dxf>
          </x14:cfRule>
          <x14:cfRule type="cellIs" priority="138" operator="equal" id="{B88AC3D6-E1C0-4CAB-A082-527C3F499073}">
            <xm:f>Ratings!$B$14</xm:f>
            <x14:dxf>
              <fill>
                <patternFill>
                  <bgColor theme="7" tint="0.39994506668294322"/>
                </patternFill>
              </fill>
            </x14:dxf>
          </x14:cfRule>
          <x14:cfRule type="cellIs" priority="139" operator="equal" id="{F7EE38FB-FBE3-4462-ABE0-DE5F77EB3D4E}">
            <xm:f>Ratings!$B$13</xm:f>
            <x14:dxf>
              <fill>
                <patternFill>
                  <bgColor theme="9" tint="0.39994506668294322"/>
                </patternFill>
              </fill>
            </x14:dxf>
          </x14:cfRule>
          <x14:cfRule type="cellIs" priority="140" operator="equal" id="{17DBDC6B-68BD-43E4-8AF4-E7470AAAD380}">
            <xm:f>Ratings!$B$12</xm:f>
            <x14:dxf>
              <fill>
                <patternFill>
                  <bgColor rgb="FF92D050"/>
                </patternFill>
              </fill>
            </x14:dxf>
          </x14:cfRule>
          <xm:sqref>F22:F1048576 F1:F20</xm:sqref>
        </x14:conditionalFormatting>
        <x14:conditionalFormatting xmlns:xm="http://schemas.microsoft.com/office/excel/2006/main">
          <x14:cfRule type="cellIs" priority="15" operator="equal" id="{05167A2C-7310-468E-BED6-57EF9F3245D2}">
            <xm:f>Ratings!$B$9</xm:f>
            <x14:dxf>
              <fill>
                <patternFill>
                  <bgColor rgb="FFFF0000"/>
                </patternFill>
              </fill>
            </x14:dxf>
          </x14:cfRule>
          <x14:cfRule type="cellIs" priority="16" operator="equal" id="{8C6E0C66-FF2E-43E2-A624-E64254A80E4F}">
            <xm:f>Ratings!$B$8</xm:f>
            <x14:dxf>
              <fill>
                <patternFill>
                  <bgColor theme="5" tint="0.39994506668294322"/>
                </patternFill>
              </fill>
            </x14:dxf>
          </x14:cfRule>
          <x14:cfRule type="cellIs" priority="17" operator="equal" id="{EDF1F648-35B7-4868-BF61-9F52A52CAE38}">
            <xm:f>Ratings!$B$7</xm:f>
            <x14:dxf>
              <fill>
                <patternFill>
                  <bgColor theme="7" tint="0.39994506668294322"/>
                </patternFill>
              </fill>
            </x14:dxf>
          </x14:cfRule>
          <x14:cfRule type="cellIs" priority="18" operator="equal" id="{0A671B94-DB1E-4089-87C2-43EF17A4E34E}">
            <xm:f>Ratings!$B$6</xm:f>
            <x14:dxf>
              <fill>
                <patternFill>
                  <bgColor theme="9" tint="0.39994506668294322"/>
                </patternFill>
              </fill>
            </x14:dxf>
          </x14:cfRule>
          <x14:cfRule type="cellIs" priority="19" operator="equal" id="{86F07F4F-18C2-4844-8BB7-0A41FD83DFA6}">
            <xm:f>Ratings!$B$5</xm:f>
            <x14:dxf>
              <fill>
                <patternFill>
                  <bgColor rgb="FF92D050"/>
                </patternFill>
              </fill>
            </x14:dxf>
          </x14:cfRule>
          <xm:sqref>E21</xm:sqref>
        </x14:conditionalFormatting>
        <x14:conditionalFormatting xmlns:xm="http://schemas.microsoft.com/office/excel/2006/main">
          <x14:cfRule type="cellIs" priority="10" operator="equal" id="{017B3D07-BDA5-4CC4-B117-348CBB79E13B}">
            <xm:f>Ratings!$B$16</xm:f>
            <x14:dxf>
              <fill>
                <patternFill>
                  <bgColor rgb="FFFF0000"/>
                </patternFill>
              </fill>
            </x14:dxf>
          </x14:cfRule>
          <x14:cfRule type="cellIs" priority="11" operator="equal" id="{8CF019E8-8326-4827-B2C1-EB739C842B93}">
            <xm:f>Ratings!$B$15</xm:f>
            <x14:dxf>
              <fill>
                <patternFill>
                  <bgColor theme="5" tint="0.39994506668294322"/>
                </patternFill>
              </fill>
            </x14:dxf>
          </x14:cfRule>
          <x14:cfRule type="cellIs" priority="12" operator="equal" id="{D28A431E-BE9A-41DB-912A-75152D7314A6}">
            <xm:f>Ratings!$B$14</xm:f>
            <x14:dxf>
              <fill>
                <patternFill>
                  <bgColor theme="7" tint="0.39994506668294322"/>
                </patternFill>
              </fill>
            </x14:dxf>
          </x14:cfRule>
          <x14:cfRule type="cellIs" priority="13" operator="equal" id="{D8EEDC84-F386-4881-8281-7C822A713742}">
            <xm:f>Ratings!$B$13</xm:f>
            <x14:dxf>
              <fill>
                <patternFill>
                  <bgColor theme="9" tint="0.39994506668294322"/>
                </patternFill>
              </fill>
            </x14:dxf>
          </x14:cfRule>
          <x14:cfRule type="cellIs" priority="14" operator="equal" id="{F94FFE48-0E81-4BA9-A786-9779E288F8CF}">
            <xm:f>Ratings!$B$12</xm:f>
            <x14:dxf>
              <fill>
                <patternFill>
                  <bgColor rgb="FF92D050"/>
                </patternFill>
              </fill>
            </x14:dxf>
          </x14:cfRule>
          <xm:sqref>F21</xm:sqref>
        </x14:conditionalFormatting>
        <x14:conditionalFormatting xmlns:xm="http://schemas.microsoft.com/office/excel/2006/main">
          <x14:cfRule type="cellIs" priority="1" operator="equal" id="{968AE272-E34E-405D-850A-AEA059E76AEA}">
            <xm:f>'\Users\w.dol\Downloads\[PoD Country Risk Assessment - Iraq.xlsx]Ratings'!#REF!</xm:f>
            <x14:dxf>
              <fill>
                <patternFill>
                  <bgColor rgb="FFFF0000"/>
                </patternFill>
              </fill>
            </x14:dxf>
          </x14:cfRule>
          <x14:cfRule type="cellIs" priority="2" operator="equal" id="{6E7174A3-FF19-4815-B9AB-6CE4622A5991}">
            <xm:f>'\Users\w.dol\Downloads\[PoD Country Risk Assessment - Iraq.xlsx]Ratings'!#REF!</xm:f>
            <x14:dxf>
              <fill>
                <patternFill>
                  <bgColor theme="5" tint="0.39994506668294322"/>
                </patternFill>
              </fill>
            </x14:dxf>
          </x14:cfRule>
          <x14:cfRule type="cellIs" priority="3" operator="equal" id="{15B072E6-0CDF-44BB-B6C2-459FAF1F9E5B}">
            <xm:f>'\Users\w.dol\Downloads\[PoD Country Risk Assessment - Iraq.xlsx]Ratings'!#REF!</xm:f>
            <x14:dxf>
              <fill>
                <patternFill>
                  <bgColor theme="7" tint="0.39994506668294322"/>
                </patternFill>
              </fill>
            </x14:dxf>
          </x14:cfRule>
          <x14:cfRule type="cellIs" priority="4" operator="equal" id="{322E734E-3E7E-482A-A4E1-F1362EE8C3BF}">
            <xm:f>'\Users\w.dol\Downloads\[PoD Country Risk Assessment - Iraq.xlsx]Ratings'!#REF!</xm:f>
            <x14:dxf>
              <fill>
                <patternFill>
                  <bgColor theme="9" tint="0.39994506668294322"/>
                </patternFill>
              </fill>
            </x14:dxf>
          </x14:cfRule>
          <x14:cfRule type="cellIs" priority="5" operator="equal" id="{D3EDBADD-3FC3-4664-990C-1431B8F306D3}">
            <xm:f>'\Users\w.dol\Downloads\[PoD Country Risk Assessment - Iraq.xlsx]Ratings'!#REF!</xm:f>
            <x14:dxf>
              <fill>
                <patternFill>
                  <bgColor rgb="FF92D050"/>
                </patternFill>
              </fill>
            </x14:dxf>
          </x14:cfRule>
          <xm:sqref>G2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Ratings!$B$5:$B$9</xm:f>
          </x14:formula1>
          <xm:sqref>E15:E21 E4:E8 E10:E13 E23:E29</xm:sqref>
        </x14:dataValidation>
        <x14:dataValidation type="list" allowBlank="1" showInputMessage="1" showErrorMessage="1" xr:uid="{00000000-0002-0000-0000-000001000000}">
          <x14:formula1>
            <xm:f>Ratings!$B$12:$B$16</xm:f>
          </x14:formula1>
          <xm:sqref>F15:F21 F4:F8 F10:F13 F23:F29</xm:sqref>
        </x14:dataValidation>
        <x14:dataValidation type="list" allowBlank="1" showInputMessage="1" showErrorMessage="1" xr:uid="{00000000-0002-0000-0000-000002000000}">
          <x14:formula1>
            <xm:f>Ratings!$B$19:$B$22</xm:f>
          </x14:formula1>
          <xm:sqref>G4:G8 G10:G13 G15:G21 G23:G29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70F1-57FB-4048-89CC-5DBB7D701297}">
  <dimension ref="B1:K18"/>
  <sheetViews>
    <sheetView showGridLines="0" zoomScale="80" zoomScaleNormal="80" workbookViewId="0">
      <selection activeCell="G8" sqref="G8"/>
    </sheetView>
  </sheetViews>
  <sheetFormatPr defaultColWidth="33.453125" defaultRowHeight="14.5" x14ac:dyDescent="0.35"/>
  <cols>
    <col min="1" max="1" width="2" customWidth="1"/>
    <col min="2" max="2" width="5.1796875" bestFit="1" customWidth="1"/>
    <col min="3" max="3" width="34.1796875" customWidth="1"/>
    <col min="4" max="4" width="61.81640625" style="24" customWidth="1"/>
    <col min="5" max="5" width="20.7265625" customWidth="1"/>
    <col min="6" max="6" width="19.453125" customWidth="1"/>
    <col min="7" max="7" width="14.7265625" style="21" customWidth="1"/>
    <col min="8" max="8" width="49.26953125" style="24" customWidth="1"/>
    <col min="11" max="11" width="4.81640625" customWidth="1"/>
  </cols>
  <sheetData>
    <row r="1" spans="2:11" ht="187.5" customHeight="1" x14ac:dyDescent="0.35"/>
    <row r="2" spans="2:11" x14ac:dyDescent="0.35">
      <c r="B2" s="8" t="s">
        <v>17</v>
      </c>
      <c r="C2" s="9" t="s">
        <v>18</v>
      </c>
      <c r="D2" s="25" t="s">
        <v>26</v>
      </c>
      <c r="E2" s="8" t="s">
        <v>2</v>
      </c>
      <c r="F2" s="8" t="s">
        <v>9</v>
      </c>
      <c r="G2" s="8" t="s">
        <v>27</v>
      </c>
      <c r="H2" s="26" t="s">
        <v>19</v>
      </c>
      <c r="K2" s="3"/>
    </row>
    <row r="3" spans="2:11" x14ac:dyDescent="0.35">
      <c r="B3" s="11">
        <v>1</v>
      </c>
      <c r="C3" s="34" t="s">
        <v>22</v>
      </c>
      <c r="D3" s="35"/>
      <c r="E3" s="35"/>
      <c r="F3" s="35"/>
      <c r="G3" s="35"/>
      <c r="H3" s="36"/>
      <c r="K3" s="4"/>
    </row>
    <row r="4" spans="2:11" ht="142.5" customHeight="1" x14ac:dyDescent="0.35">
      <c r="B4" s="12" t="str">
        <f>$B$3&amp;"."&amp;[8]Ratings!B25</f>
        <v>1.1</v>
      </c>
      <c r="C4" s="13" t="s">
        <v>483</v>
      </c>
      <c r="D4" s="22" t="s">
        <v>482</v>
      </c>
      <c r="E4" s="12" t="s">
        <v>6</v>
      </c>
      <c r="F4" s="12" t="s">
        <v>14</v>
      </c>
      <c r="G4" s="20" t="s">
        <v>28</v>
      </c>
      <c r="H4" s="22" t="s">
        <v>481</v>
      </c>
      <c r="K4" s="4" t="str">
        <f>IFERROR(VLOOKUP(CONCATENATE(E4,F4),[8]Ratings!$H$3:$I$27,2,FALSE),)</f>
        <v>Orange</v>
      </c>
    </row>
    <row r="5" spans="2:11" ht="152.5" customHeight="1" x14ac:dyDescent="0.35">
      <c r="B5" s="12" t="str">
        <f>$B$3&amp;"."&amp;[8]Ratings!B26</f>
        <v>1.2</v>
      </c>
      <c r="C5" s="13" t="s">
        <v>68</v>
      </c>
      <c r="D5" s="22" t="s">
        <v>480</v>
      </c>
      <c r="E5" s="12" t="s">
        <v>7</v>
      </c>
      <c r="F5" s="12" t="s">
        <v>13</v>
      </c>
      <c r="G5" s="20" t="s">
        <v>28</v>
      </c>
      <c r="H5" s="22" t="s">
        <v>479</v>
      </c>
      <c r="K5" s="4" t="str">
        <f>IFERROR(VLOOKUP(CONCATENATE(E5,F5),[8]Ratings!$H$3:$I$27,2,FALSE),)</f>
        <v>Orange</v>
      </c>
    </row>
    <row r="6" spans="2:11" ht="123.75" customHeight="1" x14ac:dyDescent="0.35">
      <c r="B6" s="12" t="str">
        <f>$B$3&amp;"."&amp;[8]Ratings!B27</f>
        <v>1.3</v>
      </c>
      <c r="C6" s="13" t="s">
        <v>478</v>
      </c>
      <c r="D6" s="22" t="s">
        <v>477</v>
      </c>
      <c r="E6" s="12" t="s">
        <v>6</v>
      </c>
      <c r="F6" s="12" t="s">
        <v>14</v>
      </c>
      <c r="G6" s="20" t="s">
        <v>28</v>
      </c>
      <c r="H6" s="40" t="s">
        <v>476</v>
      </c>
      <c r="K6" s="4" t="str">
        <f>IFERROR(VLOOKUP(CONCATENATE(E6,F6),[8]Ratings!$H$3:$I$27,2,FALSE),)</f>
        <v>Orange</v>
      </c>
    </row>
    <row r="7" spans="2:11" x14ac:dyDescent="0.35">
      <c r="B7" s="11">
        <v>2</v>
      </c>
      <c r="C7" s="34" t="s">
        <v>23</v>
      </c>
      <c r="D7" s="35"/>
      <c r="E7" s="35"/>
      <c r="F7" s="35"/>
      <c r="G7" s="35"/>
      <c r="H7" s="36"/>
      <c r="K7" s="4">
        <f>IFERROR(VLOOKUP(CONCATENATE(E7,F7),[8]Ratings!$H$3:$I$27,2,FALSE),)</f>
        <v>0</v>
      </c>
    </row>
    <row r="8" spans="2:11" ht="189.75" customHeight="1" x14ac:dyDescent="0.35">
      <c r="B8" s="12" t="str">
        <f>$B$7&amp;"."&amp;[8]Ratings!B25</f>
        <v>2.1</v>
      </c>
      <c r="C8" s="13" t="s">
        <v>475</v>
      </c>
      <c r="D8" s="22" t="s">
        <v>474</v>
      </c>
      <c r="E8" s="12" t="s">
        <v>6</v>
      </c>
      <c r="F8" s="12" t="s">
        <v>14</v>
      </c>
      <c r="G8" s="20" t="s">
        <v>28</v>
      </c>
      <c r="H8" s="22" t="s">
        <v>473</v>
      </c>
      <c r="K8" s="4" t="str">
        <f>IFERROR(VLOOKUP(CONCATENATE(E8,F8),[8]Ratings!$H$3:$I$27,2,FALSE),)</f>
        <v>Orange</v>
      </c>
    </row>
    <row r="9" spans="2:11" ht="105" customHeight="1" x14ac:dyDescent="0.35">
      <c r="B9" s="37" t="str">
        <f>$B$7&amp;"."&amp;[8]Ratings!B26</f>
        <v>2.2</v>
      </c>
      <c r="C9" s="13" t="s">
        <v>472</v>
      </c>
      <c r="D9" s="22" t="s">
        <v>471</v>
      </c>
      <c r="E9" s="12" t="s">
        <v>6</v>
      </c>
      <c r="F9" s="12" t="s">
        <v>13</v>
      </c>
      <c r="G9" s="20" t="s">
        <v>28</v>
      </c>
      <c r="H9" s="22" t="s">
        <v>470</v>
      </c>
      <c r="K9" s="4"/>
    </row>
    <row r="10" spans="2:11" ht="105" customHeight="1" x14ac:dyDescent="0.35">
      <c r="B10" s="12" t="str">
        <f>$B$7&amp;"."&amp;[8]Ratings!B27</f>
        <v>2.3</v>
      </c>
      <c r="C10" s="13" t="s">
        <v>469</v>
      </c>
      <c r="D10" s="22" t="s">
        <v>468</v>
      </c>
      <c r="E10" s="12" t="s">
        <v>7</v>
      </c>
      <c r="F10" s="12" t="s">
        <v>13</v>
      </c>
      <c r="G10" s="20" t="s">
        <v>28</v>
      </c>
      <c r="H10" s="22" t="s">
        <v>467</v>
      </c>
      <c r="K10" s="4" t="str">
        <f>IFERROR(VLOOKUP(CONCATENATE(E10,F10),[8]Ratings!$H$3:$I$27,2,FALSE),)</f>
        <v>Orange</v>
      </c>
    </row>
    <row r="11" spans="2:11" x14ac:dyDescent="0.35">
      <c r="B11" s="11">
        <v>3</v>
      </c>
      <c r="C11" s="34" t="s">
        <v>24</v>
      </c>
      <c r="D11" s="35"/>
      <c r="E11" s="35"/>
      <c r="F11" s="35"/>
      <c r="G11" s="35"/>
      <c r="H11" s="36"/>
      <c r="K11" s="4">
        <f>IFERROR(VLOOKUP(CONCATENATE(E11,F11),[8]Ratings!$H$3:$I$27,2,FALSE),)</f>
        <v>0</v>
      </c>
    </row>
    <row r="12" spans="2:11" ht="53.25" customHeight="1" x14ac:dyDescent="0.35">
      <c r="B12" s="12" t="str">
        <f>$B$11&amp;"."&amp;[8]Ratings!B25</f>
        <v>3.1</v>
      </c>
      <c r="C12" s="13" t="s">
        <v>466</v>
      </c>
      <c r="D12" s="22" t="s">
        <v>465</v>
      </c>
      <c r="E12" s="12" t="s">
        <v>7</v>
      </c>
      <c r="F12" s="12" t="s">
        <v>14</v>
      </c>
      <c r="G12" s="20" t="s">
        <v>28</v>
      </c>
      <c r="H12" s="22" t="s">
        <v>464</v>
      </c>
      <c r="K12" s="4" t="str">
        <f>IFERROR(VLOOKUP(CONCATENATE(E12,F12),[8]Ratings!$H$3:$I$27,2,FALSE),)</f>
        <v>Red</v>
      </c>
    </row>
    <row r="13" spans="2:11" ht="51.75" customHeight="1" x14ac:dyDescent="0.35">
      <c r="B13" s="12" t="str">
        <f>$B$11&amp;"."&amp;[8]Ratings!B27</f>
        <v>3.3</v>
      </c>
      <c r="C13" s="13" t="s">
        <v>463</v>
      </c>
      <c r="D13" s="14" t="s">
        <v>462</v>
      </c>
      <c r="E13" s="12" t="s">
        <v>4</v>
      </c>
      <c r="F13" s="12" t="s">
        <v>14</v>
      </c>
      <c r="G13" s="20" t="s">
        <v>29</v>
      </c>
      <c r="H13" s="14" t="s">
        <v>342</v>
      </c>
      <c r="K13" s="4" t="str">
        <f>IFERROR(VLOOKUP(CONCATENATE(E13,F13),[8]Ratings!$H$3:$I$27,2,FALSE),)</f>
        <v>Orange</v>
      </c>
    </row>
    <row r="14" spans="2:11" ht="54.75" customHeight="1" x14ac:dyDescent="0.35">
      <c r="B14" s="12" t="str">
        <f>$B$11&amp;"."&amp;[8]Ratings!B28</f>
        <v>3.4</v>
      </c>
      <c r="C14" s="13" t="s">
        <v>48</v>
      </c>
      <c r="D14" s="14" t="s">
        <v>343</v>
      </c>
      <c r="E14" s="12" t="s">
        <v>4</v>
      </c>
      <c r="F14" s="12" t="s">
        <v>14</v>
      </c>
      <c r="G14" s="20" t="s">
        <v>28</v>
      </c>
      <c r="H14" s="14" t="s">
        <v>126</v>
      </c>
      <c r="K14" s="4" t="str">
        <f>IFERROR(VLOOKUP(CONCATENATE(E14,F14),[8]Ratings!$H$3:$I$27,2,FALSE),)</f>
        <v>Orange</v>
      </c>
    </row>
    <row r="15" spans="2:11" ht="82.5" customHeight="1" x14ac:dyDescent="0.35">
      <c r="B15" s="12" t="str">
        <f>$B$11&amp;"."&amp;[8]Ratings!B29</f>
        <v>3.5</v>
      </c>
      <c r="C15" s="13" t="s">
        <v>461</v>
      </c>
      <c r="D15" s="22" t="s">
        <v>296</v>
      </c>
      <c r="E15" s="12" t="s">
        <v>8</v>
      </c>
      <c r="F15" s="12" t="s">
        <v>13</v>
      </c>
      <c r="G15" s="20" t="s">
        <v>28</v>
      </c>
      <c r="H15" s="22" t="s">
        <v>297</v>
      </c>
      <c r="K15" s="4" t="str">
        <f>IFERROR(VLOOKUP(CONCATENATE(E15,F15),[8]Ratings!$H$3:$I$27,2,FALSE),)</f>
        <v>Orange</v>
      </c>
    </row>
    <row r="16" spans="2:11" x14ac:dyDescent="0.35">
      <c r="B16" s="11">
        <v>4</v>
      </c>
      <c r="C16" s="34" t="s">
        <v>25</v>
      </c>
      <c r="D16" s="35"/>
      <c r="E16" s="35"/>
      <c r="F16" s="35"/>
      <c r="G16" s="35"/>
      <c r="H16" s="36"/>
      <c r="K16" s="4">
        <f>IFERROR(VLOOKUP(CONCATENATE(E16,F16),[8]Ratings!$H$3:$I$27,2,FALSE),)</f>
        <v>0</v>
      </c>
    </row>
    <row r="17" spans="2:11" ht="67.5" customHeight="1" x14ac:dyDescent="0.35">
      <c r="B17" s="12" t="str">
        <f>$B$16&amp;"."&amp;[8]Ratings!B25</f>
        <v>4.1</v>
      </c>
      <c r="C17" s="13" t="s">
        <v>298</v>
      </c>
      <c r="D17" s="22" t="s">
        <v>299</v>
      </c>
      <c r="E17" s="12" t="s">
        <v>7</v>
      </c>
      <c r="F17" s="12" t="s">
        <v>12</v>
      </c>
      <c r="G17" s="20" t="s">
        <v>30</v>
      </c>
      <c r="H17" s="22" t="s">
        <v>344</v>
      </c>
      <c r="K17" s="4" t="str">
        <f>IFERROR(VLOOKUP(CONCATENATE(E17,F17),[8]Ratings!$H$3:$I$27,2,FALSE),)</f>
        <v>Yellow</v>
      </c>
    </row>
    <row r="18" spans="2:11" ht="97.5" customHeight="1" x14ac:dyDescent="0.35">
      <c r="B18" s="12" t="str">
        <f>$B$16&amp;"."&amp;[8]Ratings!B26</f>
        <v>4.2</v>
      </c>
      <c r="C18" s="13" t="s">
        <v>300</v>
      </c>
      <c r="D18" s="22" t="s">
        <v>301</v>
      </c>
      <c r="E18" s="12" t="s">
        <v>6</v>
      </c>
      <c r="F18" s="12" t="s">
        <v>13</v>
      </c>
      <c r="G18" s="20" t="s">
        <v>28</v>
      </c>
      <c r="H18" s="22" t="s">
        <v>302</v>
      </c>
      <c r="K18" s="4" t="str">
        <f>IFERROR(VLOOKUP(CONCATENATE(E18,F18),[8]Ratings!$H$3:$I$27,2,FALSE),)</f>
        <v>Orange</v>
      </c>
    </row>
  </sheetData>
  <mergeCells count="4">
    <mergeCell ref="C3:H3"/>
    <mergeCell ref="C7:H7"/>
    <mergeCell ref="C11:H11"/>
    <mergeCell ref="C16:H16"/>
  </mergeCells>
  <conditionalFormatting sqref="B15:B1048576 B2:B12">
    <cfRule type="expression" dxfId="76" priority="13">
      <formula>K2="Red"</formula>
    </cfRule>
    <cfRule type="expression" dxfId="75" priority="14">
      <formula>K2="Orange"</formula>
    </cfRule>
    <cfRule type="expression" dxfId="74" priority="15">
      <formula>K2="Yellow"</formula>
    </cfRule>
    <cfRule type="expression" dxfId="73" priority="16">
      <formula>K2="Green"</formula>
    </cfRule>
  </conditionalFormatting>
  <conditionalFormatting sqref="B1">
    <cfRule type="expression" dxfId="72" priority="9">
      <formula>K1="Red"</formula>
    </cfRule>
    <cfRule type="expression" dxfId="71" priority="10">
      <formula>K1="Orange"</formula>
    </cfRule>
    <cfRule type="expression" dxfId="70" priority="11">
      <formula>K1="Yellow"</formula>
    </cfRule>
    <cfRule type="expression" dxfId="69" priority="12">
      <formula>K1="Green"</formula>
    </cfRule>
  </conditionalFormatting>
  <conditionalFormatting sqref="B13">
    <cfRule type="expression" dxfId="68" priority="5">
      <formula>K13="Red"</formula>
    </cfRule>
    <cfRule type="expression" dxfId="67" priority="6">
      <formula>K13="Orange"</formula>
    </cfRule>
    <cfRule type="expression" dxfId="66" priority="7">
      <formula>K13="Yellow"</formula>
    </cfRule>
    <cfRule type="expression" dxfId="65" priority="8">
      <formula>K13="Green"</formula>
    </cfRule>
  </conditionalFormatting>
  <conditionalFormatting sqref="B14">
    <cfRule type="expression" dxfId="64" priority="1">
      <formula>K14="Red"</formula>
    </cfRule>
    <cfRule type="expression" dxfId="63" priority="2">
      <formula>K14="Orange"</formula>
    </cfRule>
    <cfRule type="expression" dxfId="62" priority="3">
      <formula>K14="Yellow"</formula>
    </cfRule>
    <cfRule type="expression" dxfId="61" priority="4">
      <formula>K14="Green"</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A3A97-57AB-415B-834F-91E351C52833}">
  <dimension ref="B1:K14"/>
  <sheetViews>
    <sheetView showGridLines="0" zoomScale="80" zoomScaleNormal="80" workbookViewId="0">
      <selection activeCell="F14" sqref="F14"/>
    </sheetView>
  </sheetViews>
  <sheetFormatPr defaultColWidth="33.453125" defaultRowHeight="14.5" x14ac:dyDescent="0.35"/>
  <cols>
    <col min="1" max="1" width="2" customWidth="1"/>
    <col min="2" max="2" width="5.1796875" bestFit="1" customWidth="1"/>
    <col min="3" max="3" width="34.1796875" customWidth="1"/>
    <col min="4" max="4" width="51.453125" customWidth="1"/>
    <col min="5" max="5" width="20.6328125" customWidth="1"/>
    <col min="6" max="6" width="19.453125" customWidth="1"/>
    <col min="7" max="7" width="14.6328125" style="21" customWidth="1"/>
    <col min="8" max="8" width="47.36328125" style="24" customWidth="1"/>
    <col min="11" max="11" width="4.81640625" customWidth="1"/>
  </cols>
  <sheetData>
    <row r="1" spans="2:11" ht="187.5" customHeight="1" x14ac:dyDescent="0.35"/>
    <row r="2" spans="2:11" x14ac:dyDescent="0.35">
      <c r="B2" s="8" t="s">
        <v>17</v>
      </c>
      <c r="C2" s="9" t="s">
        <v>18</v>
      </c>
      <c r="D2" s="8" t="s">
        <v>26</v>
      </c>
      <c r="E2" s="8" t="s">
        <v>2</v>
      </c>
      <c r="F2" s="8" t="s">
        <v>9</v>
      </c>
      <c r="G2" s="8" t="s">
        <v>27</v>
      </c>
      <c r="H2" s="28" t="s">
        <v>19</v>
      </c>
      <c r="K2" s="3"/>
    </row>
    <row r="3" spans="2:11" x14ac:dyDescent="0.35">
      <c r="B3" s="11">
        <v>1</v>
      </c>
      <c r="C3" s="34" t="s">
        <v>22</v>
      </c>
      <c r="D3" s="35"/>
      <c r="E3" s="35"/>
      <c r="F3" s="35"/>
      <c r="G3" s="35"/>
      <c r="H3" s="36"/>
      <c r="K3" s="4"/>
    </row>
    <row r="4" spans="2:11" ht="54" customHeight="1" x14ac:dyDescent="0.35">
      <c r="B4" s="12" t="str">
        <f>$B$3&amp;"."&amp;[9]Ratings!B25</f>
        <v>1.1</v>
      </c>
      <c r="C4" s="13" t="s">
        <v>369</v>
      </c>
      <c r="D4" s="14" t="s">
        <v>370</v>
      </c>
      <c r="E4" s="12" t="s">
        <v>6</v>
      </c>
      <c r="F4" s="12" t="s">
        <v>13</v>
      </c>
      <c r="G4" s="20" t="s">
        <v>28</v>
      </c>
      <c r="H4" s="22" t="s">
        <v>371</v>
      </c>
      <c r="K4" s="4" t="str">
        <f>IFERROR(VLOOKUP(CONCATENATE(E4,F4),[9]Ratings!$H$3:$I$27,2,FALSE),)</f>
        <v>Orange</v>
      </c>
    </row>
    <row r="5" spans="2:11" ht="72" customHeight="1" x14ac:dyDescent="0.35">
      <c r="B5" s="12" t="str">
        <f>$B$3&amp;"."&amp;[9]Ratings!B26</f>
        <v>1.2</v>
      </c>
      <c r="C5" s="13" t="s">
        <v>372</v>
      </c>
      <c r="D5" s="14" t="s">
        <v>306</v>
      </c>
      <c r="E5" s="12" t="s">
        <v>7</v>
      </c>
      <c r="F5" s="12" t="s">
        <v>14</v>
      </c>
      <c r="G5" s="20" t="s">
        <v>28</v>
      </c>
      <c r="H5" s="22" t="s">
        <v>307</v>
      </c>
      <c r="K5" s="4" t="str">
        <f>IFERROR(VLOOKUP(CONCATENATE(E5,F5),[9]Ratings!$H$3:$I$27,2,FALSE),)</f>
        <v>Red</v>
      </c>
    </row>
    <row r="6" spans="2:11" ht="42.75" customHeight="1" x14ac:dyDescent="0.35">
      <c r="B6" s="12" t="str">
        <f>$B$3&amp;"."&amp;[9]Ratings!B27</f>
        <v>1.3</v>
      </c>
      <c r="C6" s="13" t="s">
        <v>308</v>
      </c>
      <c r="D6" s="14" t="s">
        <v>488</v>
      </c>
      <c r="E6" s="12" t="s">
        <v>3</v>
      </c>
      <c r="F6" s="12" t="s">
        <v>11</v>
      </c>
      <c r="G6" s="20" t="s">
        <v>28</v>
      </c>
      <c r="H6" s="22" t="s">
        <v>487</v>
      </c>
      <c r="K6" s="4" t="str">
        <f>IFERROR(VLOOKUP(CONCATENATE(E6,F6),[9]Ratings!$H$3:$I$27,2,FALSE),)</f>
        <v>Green</v>
      </c>
    </row>
    <row r="7" spans="2:11" ht="39.75" customHeight="1" x14ac:dyDescent="0.35">
      <c r="B7" s="12" t="str">
        <f>$B$3&amp;"."&amp;[9]Ratings!B28</f>
        <v>1.4</v>
      </c>
      <c r="C7" s="13" t="s">
        <v>51</v>
      </c>
      <c r="D7" s="14" t="s">
        <v>486</v>
      </c>
      <c r="E7" s="12" t="s">
        <v>3</v>
      </c>
      <c r="F7" s="12" t="s">
        <v>14</v>
      </c>
      <c r="G7" s="20" t="s">
        <v>30</v>
      </c>
      <c r="H7" s="22" t="s">
        <v>485</v>
      </c>
      <c r="K7" s="4" t="str">
        <f>IFERROR(VLOOKUP(CONCATENATE(E7,F7),[9]Ratings!$H$3:$I$27,2,FALSE),)</f>
        <v>Yellow</v>
      </c>
    </row>
    <row r="8" spans="2:11" x14ac:dyDescent="0.35">
      <c r="B8" s="11">
        <v>2</v>
      </c>
      <c r="C8" s="34" t="s">
        <v>23</v>
      </c>
      <c r="D8" s="35"/>
      <c r="E8" s="35"/>
      <c r="F8" s="35"/>
      <c r="G8" s="35"/>
      <c r="H8" s="36"/>
      <c r="K8" s="4">
        <f>IFERROR(VLOOKUP(CONCATENATE(E8,F8),[9]Ratings!$H$3:$I$27,2,FALSE),)</f>
        <v>0</v>
      </c>
    </row>
    <row r="9" spans="2:11" ht="42.75" customHeight="1" x14ac:dyDescent="0.35">
      <c r="B9" s="12" t="str">
        <f>$B$8&amp;"."&amp;[9]Ratings!B27</f>
        <v>2.3</v>
      </c>
      <c r="C9" s="13" t="s">
        <v>373</v>
      </c>
      <c r="D9" s="14" t="s">
        <v>309</v>
      </c>
      <c r="E9" s="12" t="s">
        <v>4</v>
      </c>
      <c r="F9" s="12" t="s">
        <v>14</v>
      </c>
      <c r="G9" s="20" t="s">
        <v>28</v>
      </c>
      <c r="H9" s="22" t="s">
        <v>310</v>
      </c>
      <c r="K9" s="4" t="str">
        <f>IFERROR(VLOOKUP(CONCATENATE(E9,F9),[9]Ratings!$H$3:$I$27,2,FALSE),)</f>
        <v>Orange</v>
      </c>
    </row>
    <row r="10" spans="2:11" x14ac:dyDescent="0.35">
      <c r="B10" s="11">
        <v>3</v>
      </c>
      <c r="C10" s="34" t="s">
        <v>24</v>
      </c>
      <c r="D10" s="35"/>
      <c r="E10" s="35"/>
      <c r="F10" s="35"/>
      <c r="G10" s="35"/>
      <c r="H10" s="36"/>
      <c r="K10" s="4">
        <f>IFERROR(VLOOKUP(CONCATENATE(E10,F10),[9]Ratings!$H$3:$I$27,2,FALSE),)</f>
        <v>0</v>
      </c>
    </row>
    <row r="11" spans="2:11" ht="69" customHeight="1" x14ac:dyDescent="0.35">
      <c r="B11" s="12" t="str">
        <f>$B$10&amp;"."&amp;[9]Ratings!B25</f>
        <v>3.1</v>
      </c>
      <c r="C11" s="13" t="s">
        <v>44</v>
      </c>
      <c r="D11" s="14" t="s">
        <v>311</v>
      </c>
      <c r="E11" s="12" t="s">
        <v>4</v>
      </c>
      <c r="F11" s="12" t="s">
        <v>14</v>
      </c>
      <c r="G11" s="20" t="s">
        <v>28</v>
      </c>
      <c r="H11" s="22" t="s">
        <v>312</v>
      </c>
      <c r="K11" s="4" t="str">
        <f>IFERROR(VLOOKUP(CONCATENATE(E11,F11),[9]Ratings!$H$3:$I$27,2,FALSE),)</f>
        <v>Orange</v>
      </c>
    </row>
    <row r="12" spans="2:11" x14ac:dyDescent="0.35">
      <c r="B12" s="11">
        <v>4</v>
      </c>
      <c r="C12" s="34" t="s">
        <v>25</v>
      </c>
      <c r="D12" s="35"/>
      <c r="E12" s="35"/>
      <c r="F12" s="35"/>
      <c r="G12" s="35"/>
      <c r="H12" s="36"/>
      <c r="K12" s="4">
        <f>IFERROR(VLOOKUP(CONCATENATE(E12,F12),[9]Ratings!$H$3:$I$27,2,FALSE),)</f>
        <v>0</v>
      </c>
    </row>
    <row r="13" spans="2:11" ht="57" customHeight="1" x14ac:dyDescent="0.35">
      <c r="B13" s="12" t="str">
        <f>$B$12&amp;"."&amp;[9]Ratings!B25</f>
        <v>4.1</v>
      </c>
      <c r="C13" s="13" t="s">
        <v>52</v>
      </c>
      <c r="D13" s="14" t="s">
        <v>294</v>
      </c>
      <c r="E13" s="12" t="s">
        <v>4</v>
      </c>
      <c r="F13" s="12" t="s">
        <v>13</v>
      </c>
      <c r="G13" s="20" t="s">
        <v>28</v>
      </c>
      <c r="H13" s="22" t="s">
        <v>295</v>
      </c>
      <c r="K13" s="4" t="str">
        <f>IFERROR(VLOOKUP(CONCATENATE(E13,F13),[9]Ratings!$H$3:$I$27,2,FALSE),)</f>
        <v>Yellow</v>
      </c>
    </row>
    <row r="14" spans="2:11" ht="55.5" customHeight="1" x14ac:dyDescent="0.35">
      <c r="B14" s="12" t="str">
        <f>$B$12&amp;"."&amp;[9]Ratings!B26</f>
        <v>4.2</v>
      </c>
      <c r="C14" s="13" t="s">
        <v>313</v>
      </c>
      <c r="D14" s="14" t="s">
        <v>314</v>
      </c>
      <c r="E14" s="12" t="s">
        <v>7</v>
      </c>
      <c r="F14" s="12" t="s">
        <v>13</v>
      </c>
      <c r="G14" s="20" t="s">
        <v>28</v>
      </c>
      <c r="H14" s="22" t="s">
        <v>484</v>
      </c>
      <c r="K14" s="4" t="str">
        <f>IFERROR(VLOOKUP(CONCATENATE(E14,F14),[9]Ratings!$H$3:$I$27,2,FALSE),)</f>
        <v>Orange</v>
      </c>
    </row>
  </sheetData>
  <mergeCells count="4">
    <mergeCell ref="C3:H3"/>
    <mergeCell ref="C8:H8"/>
    <mergeCell ref="C10:H10"/>
    <mergeCell ref="C12:H12"/>
  </mergeCells>
  <conditionalFormatting sqref="B2:B1048576">
    <cfRule type="expression" dxfId="60" priority="5">
      <formula>K2="Red"</formula>
    </cfRule>
    <cfRule type="expression" dxfId="59" priority="6">
      <formula>K2="Orange"</formula>
    </cfRule>
    <cfRule type="expression" dxfId="58" priority="7">
      <formula>K2="Yellow"</formula>
    </cfRule>
    <cfRule type="expression" dxfId="57" priority="8">
      <formula>K2="Green"</formula>
    </cfRule>
  </conditionalFormatting>
  <conditionalFormatting sqref="B1">
    <cfRule type="expression" dxfId="56" priority="1">
      <formula>K1="Red"</formula>
    </cfRule>
    <cfRule type="expression" dxfId="55" priority="2">
      <formula>K1="Orange"</formula>
    </cfRule>
    <cfRule type="expression" dxfId="54" priority="3">
      <formula>K1="Yellow"</formula>
    </cfRule>
    <cfRule type="expression" dxfId="53" priority="4">
      <formula>K1="Green"</formula>
    </cfRule>
  </conditionalFormatting>
  <pageMargins left="0.7" right="0.7" top="0.75" bottom="0.75" header="0.3" footer="0.3"/>
  <pageSetup paperSize="9"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E1936-B9D6-4FBB-851A-EE75E985D013}">
  <dimension ref="B1:K18"/>
  <sheetViews>
    <sheetView showGridLines="0" zoomScale="80" zoomScaleNormal="80" workbookViewId="0">
      <selection activeCell="I13" sqref="I13"/>
    </sheetView>
  </sheetViews>
  <sheetFormatPr defaultColWidth="33.453125" defaultRowHeight="14.5" x14ac:dyDescent="0.35"/>
  <cols>
    <col min="1" max="1" width="2" customWidth="1"/>
    <col min="2" max="2" width="5.08984375" bestFit="1" customWidth="1"/>
    <col min="3" max="3" width="34.08984375" customWidth="1"/>
    <col min="4" max="4" width="54.54296875" customWidth="1"/>
    <col min="5" max="5" width="20.6328125" customWidth="1"/>
    <col min="6" max="6" width="19.453125" customWidth="1"/>
    <col min="7" max="7" width="14.6328125" style="21" customWidth="1"/>
    <col min="8" max="8" width="48.54296875" style="24" customWidth="1"/>
    <col min="11" max="11" width="4.90625" customWidth="1"/>
  </cols>
  <sheetData>
    <row r="1" spans="2:11" ht="187.5" customHeight="1" x14ac:dyDescent="0.35"/>
    <row r="2" spans="2:11" x14ac:dyDescent="0.35">
      <c r="B2" s="8" t="s">
        <v>17</v>
      </c>
      <c r="C2" s="9" t="s">
        <v>18</v>
      </c>
      <c r="D2" s="8" t="s">
        <v>26</v>
      </c>
      <c r="E2" s="8" t="s">
        <v>2</v>
      </c>
      <c r="F2" s="8" t="s">
        <v>9</v>
      </c>
      <c r="G2" s="8" t="s">
        <v>27</v>
      </c>
      <c r="H2" s="28" t="s">
        <v>19</v>
      </c>
      <c r="K2" s="3"/>
    </row>
    <row r="3" spans="2:11" x14ac:dyDescent="0.35">
      <c r="B3" s="11">
        <v>1</v>
      </c>
      <c r="C3" s="34" t="s">
        <v>22</v>
      </c>
      <c r="D3" s="35"/>
      <c r="E3" s="35"/>
      <c r="F3" s="35"/>
      <c r="G3" s="35"/>
      <c r="H3" s="36"/>
      <c r="K3" s="4"/>
    </row>
    <row r="4" spans="2:11" ht="65" x14ac:dyDescent="0.35">
      <c r="B4" s="12" t="str">
        <f>$B$3&amp;"."&amp;[10]Ratings!B25</f>
        <v>1.1</v>
      </c>
      <c r="C4" s="13" t="s">
        <v>364</v>
      </c>
      <c r="D4" s="14" t="s">
        <v>303</v>
      </c>
      <c r="E4" s="12" t="s">
        <v>4</v>
      </c>
      <c r="F4" s="12" t="s">
        <v>11</v>
      </c>
      <c r="G4" s="20" t="s">
        <v>28</v>
      </c>
      <c r="H4" s="22" t="s">
        <v>507</v>
      </c>
      <c r="K4" s="4" t="str">
        <f>IFERROR(VLOOKUP(CONCATENATE(E4,F4),[10]Ratings!$H$3:$I$27,2,FALSE),)</f>
        <v>Green</v>
      </c>
    </row>
    <row r="5" spans="2:11" ht="50.25" customHeight="1" x14ac:dyDescent="0.35">
      <c r="B5" s="12" t="str">
        <f>$B$3&amp;"."&amp;[10]Ratings!B26</f>
        <v>1.2</v>
      </c>
      <c r="C5" s="13" t="s">
        <v>506</v>
      </c>
      <c r="D5" s="14" t="s">
        <v>505</v>
      </c>
      <c r="E5" s="12" t="s">
        <v>6</v>
      </c>
      <c r="F5" s="12" t="s">
        <v>14</v>
      </c>
      <c r="G5" s="20" t="s">
        <v>28</v>
      </c>
      <c r="H5" s="22" t="s">
        <v>504</v>
      </c>
      <c r="K5" s="4" t="str">
        <f>IFERROR(VLOOKUP(CONCATENATE(E5,F5),[10]Ratings!$H$3:$I$27,2,FALSE),)</f>
        <v>Orange</v>
      </c>
    </row>
    <row r="6" spans="2:11" ht="90.75" customHeight="1" x14ac:dyDescent="0.35">
      <c r="B6" s="12" t="str">
        <f>$B$3&amp;"."&amp;[10]Ratings!B27</f>
        <v>1.3</v>
      </c>
      <c r="C6" s="13" t="s">
        <v>503</v>
      </c>
      <c r="D6" s="14" t="s">
        <v>502</v>
      </c>
      <c r="E6" s="12" t="s">
        <v>7</v>
      </c>
      <c r="F6" s="12" t="s">
        <v>14</v>
      </c>
      <c r="G6" s="20" t="s">
        <v>28</v>
      </c>
      <c r="H6" s="22" t="s">
        <v>360</v>
      </c>
      <c r="K6" s="4" t="str">
        <f>IFERROR(VLOOKUP(CONCATENATE(E6,F6),[10]Ratings!$H$3:$I$27,2,FALSE),)</f>
        <v>Red</v>
      </c>
    </row>
    <row r="7" spans="2:11" x14ac:dyDescent="0.35">
      <c r="B7" s="11">
        <v>2</v>
      </c>
      <c r="C7" s="34" t="s">
        <v>23</v>
      </c>
      <c r="D7" s="35"/>
      <c r="E7" s="35"/>
      <c r="F7" s="35"/>
      <c r="G7" s="35"/>
      <c r="H7" s="36"/>
      <c r="K7" s="4">
        <f>IFERROR(VLOOKUP(CONCATENATE(E7,F7),[10]Ratings!$H$3:$I$27,2,FALSE),)</f>
        <v>0</v>
      </c>
    </row>
    <row r="8" spans="2:11" ht="55.5" customHeight="1" x14ac:dyDescent="0.35">
      <c r="B8" s="12" t="str">
        <f>$B$7&amp;"."&amp;[10]Ratings!B25</f>
        <v>2.1</v>
      </c>
      <c r="C8" s="13" t="s">
        <v>304</v>
      </c>
      <c r="D8" s="14" t="s">
        <v>501</v>
      </c>
      <c r="E8" s="12" t="s">
        <v>7</v>
      </c>
      <c r="F8" s="12" t="s">
        <v>14</v>
      </c>
      <c r="G8" s="20" t="s">
        <v>28</v>
      </c>
      <c r="H8" s="22" t="s">
        <v>365</v>
      </c>
      <c r="K8" s="4" t="str">
        <f>IFERROR(VLOOKUP(CONCATENATE(E8,F8),[10]Ratings!$H$3:$I$27,2,FALSE),)</f>
        <v>Red</v>
      </c>
    </row>
    <row r="9" spans="2:11" ht="57.75" customHeight="1" x14ac:dyDescent="0.35">
      <c r="B9" s="12" t="str">
        <f>$B$7&amp;"."&amp;[10]Ratings!B26</f>
        <v>2.2</v>
      </c>
      <c r="C9" s="13" t="s">
        <v>366</v>
      </c>
      <c r="D9" s="14" t="s">
        <v>303</v>
      </c>
      <c r="E9" s="12" t="s">
        <v>4</v>
      </c>
      <c r="F9" s="12" t="s">
        <v>12</v>
      </c>
      <c r="G9" s="20" t="s">
        <v>28</v>
      </c>
      <c r="H9" s="22" t="s">
        <v>494</v>
      </c>
      <c r="K9" s="4" t="str">
        <f>IFERROR(VLOOKUP(CONCATENATE(E9,F9),[10]Ratings!$H$3:$I$27,2,FALSE),)</f>
        <v>Green</v>
      </c>
    </row>
    <row r="10" spans="2:11" ht="57.75" customHeight="1" x14ac:dyDescent="0.35">
      <c r="B10" s="12"/>
      <c r="C10" s="13" t="s">
        <v>500</v>
      </c>
      <c r="D10" s="14" t="s">
        <v>499</v>
      </c>
      <c r="E10" s="12" t="s">
        <v>4</v>
      </c>
      <c r="F10" s="12" t="s">
        <v>498</v>
      </c>
      <c r="G10" s="20"/>
      <c r="H10" s="22" t="s">
        <v>497</v>
      </c>
      <c r="K10" s="4"/>
    </row>
    <row r="11" spans="2:11" ht="45" customHeight="1" x14ac:dyDescent="0.35">
      <c r="B11" s="12" t="str">
        <f>$B$7&amp;"."&amp;[10]Ratings!B27</f>
        <v>2.3</v>
      </c>
      <c r="C11" s="13" t="s">
        <v>496</v>
      </c>
      <c r="D11" s="14" t="s">
        <v>495</v>
      </c>
      <c r="E11" s="12" t="s">
        <v>7</v>
      </c>
      <c r="F11" s="12" t="s">
        <v>14</v>
      </c>
      <c r="G11" s="20" t="s">
        <v>28</v>
      </c>
      <c r="H11" s="22" t="s">
        <v>494</v>
      </c>
      <c r="K11" s="4" t="str">
        <f>IFERROR(VLOOKUP(CONCATENATE(E11,F11),[10]Ratings!$H$3:$I$27,2,FALSE),)</f>
        <v>Red</v>
      </c>
    </row>
    <row r="12" spans="2:11" x14ac:dyDescent="0.35">
      <c r="B12" s="11">
        <v>3</v>
      </c>
      <c r="C12" s="34" t="s">
        <v>24</v>
      </c>
      <c r="D12" s="35"/>
      <c r="E12" s="35"/>
      <c r="F12" s="35"/>
      <c r="G12" s="35"/>
      <c r="H12" s="36"/>
      <c r="K12" s="4">
        <f>IFERROR(VLOOKUP(CONCATENATE(E12,F12),[10]Ratings!$H$3:$I$27,2,FALSE),)</f>
        <v>0</v>
      </c>
    </row>
    <row r="13" spans="2:11" ht="61.5" customHeight="1" x14ac:dyDescent="0.35">
      <c r="B13" s="12" t="str">
        <f>$B$12&amp;"."&amp;[10]Ratings!B25</f>
        <v>3.1</v>
      </c>
      <c r="C13" s="13" t="s">
        <v>367</v>
      </c>
      <c r="D13" s="14" t="s">
        <v>493</v>
      </c>
      <c r="E13" s="12" t="s">
        <v>4</v>
      </c>
      <c r="F13" s="12" t="s">
        <v>13</v>
      </c>
      <c r="G13" s="20" t="s">
        <v>28</v>
      </c>
      <c r="H13" s="22" t="s">
        <v>361</v>
      </c>
      <c r="K13" s="4" t="str">
        <f>IFERROR(VLOOKUP(CONCATENATE(E13,F13),[10]Ratings!$H$3:$I$27,2,FALSE),)</f>
        <v>Yellow</v>
      </c>
    </row>
    <row r="14" spans="2:11" ht="52" x14ac:dyDescent="0.35">
      <c r="B14" s="12" t="str">
        <f>$B$12&amp;"."&amp;[10]Ratings!B26</f>
        <v>3.2</v>
      </c>
      <c r="C14" s="13" t="s">
        <v>94</v>
      </c>
      <c r="D14" s="14" t="s">
        <v>95</v>
      </c>
      <c r="E14" s="12" t="s">
        <v>6</v>
      </c>
      <c r="F14" s="12" t="s">
        <v>14</v>
      </c>
      <c r="G14" s="20" t="s">
        <v>28</v>
      </c>
      <c r="H14" s="22" t="s">
        <v>362</v>
      </c>
      <c r="K14" s="4" t="str">
        <f>IFERROR(VLOOKUP(CONCATENATE(E14,F14),[10]Ratings!$H$3:$I$27,2,FALSE),)</f>
        <v>Orange</v>
      </c>
    </row>
    <row r="15" spans="2:11" x14ac:dyDescent="0.35">
      <c r="B15" s="11">
        <v>4</v>
      </c>
      <c r="C15" s="34" t="s">
        <v>25</v>
      </c>
      <c r="D15" s="35"/>
      <c r="E15" s="35"/>
      <c r="F15" s="35"/>
      <c r="G15" s="35"/>
      <c r="H15" s="36"/>
      <c r="K15" s="4">
        <f>IFERROR(VLOOKUP(CONCATENATE(E15,F15),[10]Ratings!$H$3:$I$27,2,FALSE),)</f>
        <v>0</v>
      </c>
    </row>
    <row r="16" spans="2:11" ht="58.5" customHeight="1" x14ac:dyDescent="0.35">
      <c r="B16" s="12" t="str">
        <f>$B$15&amp;"."&amp;[10]Ratings!B25</f>
        <v>4.1</v>
      </c>
      <c r="C16" s="13" t="s">
        <v>96</v>
      </c>
      <c r="D16" s="14" t="s">
        <v>492</v>
      </c>
      <c r="E16" s="12" t="s">
        <v>4</v>
      </c>
      <c r="F16" s="12" t="s">
        <v>13</v>
      </c>
      <c r="G16" s="20" t="s">
        <v>30</v>
      </c>
      <c r="H16" s="22" t="s">
        <v>376</v>
      </c>
      <c r="K16" s="4" t="str">
        <f>IFERROR(VLOOKUP(CONCATENATE(E16,F16),[10]Ratings!$H$3:$I$27,2,FALSE),)</f>
        <v>Yellow</v>
      </c>
    </row>
    <row r="17" spans="2:11" ht="58.5" customHeight="1" x14ac:dyDescent="0.35">
      <c r="B17" s="12">
        <v>4.2</v>
      </c>
      <c r="C17" s="13" t="s">
        <v>491</v>
      </c>
      <c r="D17" s="14" t="s">
        <v>490</v>
      </c>
      <c r="E17" s="12" t="s">
        <v>4</v>
      </c>
      <c r="F17" s="12" t="s">
        <v>14</v>
      </c>
      <c r="G17" s="20" t="s">
        <v>28</v>
      </c>
      <c r="H17" s="22" t="s">
        <v>489</v>
      </c>
      <c r="K17" s="4"/>
    </row>
    <row r="18" spans="2:11" ht="52" x14ac:dyDescent="0.35">
      <c r="B18" s="12">
        <v>4.3</v>
      </c>
      <c r="C18" s="13" t="s">
        <v>368</v>
      </c>
      <c r="D18" s="14" t="s">
        <v>305</v>
      </c>
      <c r="E18" s="12" t="s">
        <v>4</v>
      </c>
      <c r="F18" s="12" t="s">
        <v>13</v>
      </c>
      <c r="G18" s="20" t="s">
        <v>28</v>
      </c>
      <c r="H18" s="22" t="s">
        <v>363</v>
      </c>
      <c r="K18" s="4" t="str">
        <f>IFERROR(VLOOKUP(CONCATENATE(E18,F18),[10]Ratings!$H$3:$I$27,2,FALSE),)</f>
        <v>Yellow</v>
      </c>
    </row>
  </sheetData>
  <mergeCells count="4">
    <mergeCell ref="C3:H3"/>
    <mergeCell ref="C7:H7"/>
    <mergeCell ref="C12:H12"/>
    <mergeCell ref="C15:H15"/>
  </mergeCells>
  <conditionalFormatting sqref="B2:B1048576">
    <cfRule type="expression" dxfId="52" priority="5">
      <formula>K2="Red"</formula>
    </cfRule>
    <cfRule type="expression" dxfId="51" priority="6">
      <formula>K2="Orange"</formula>
    </cfRule>
    <cfRule type="expression" dxfId="50" priority="7">
      <formula>K2="Yellow"</formula>
    </cfRule>
    <cfRule type="expression" dxfId="49" priority="8">
      <formula>K2="Green"</formula>
    </cfRule>
  </conditionalFormatting>
  <conditionalFormatting sqref="B1">
    <cfRule type="expression" dxfId="48" priority="1">
      <formula>K1="Red"</formula>
    </cfRule>
    <cfRule type="expression" dxfId="47" priority="2">
      <formula>K1="Orange"</formula>
    </cfRule>
    <cfRule type="expression" dxfId="46" priority="3">
      <formula>K1="Yellow"</formula>
    </cfRule>
    <cfRule type="expression" dxfId="45" priority="4">
      <formula>K1="Green"</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0AC6C-058E-4B3A-8FA8-8E4EDAC4B75D}">
  <dimension ref="A2:G21"/>
  <sheetViews>
    <sheetView topLeftCell="A5" zoomScale="90" zoomScaleNormal="90" workbookViewId="0">
      <selection activeCell="C1" sqref="C1"/>
    </sheetView>
  </sheetViews>
  <sheetFormatPr defaultRowHeight="14.5" x14ac:dyDescent="0.35"/>
  <cols>
    <col min="1" max="1" width="15.08984375" customWidth="1"/>
    <col min="2" max="2" width="21.453125" customWidth="1"/>
    <col min="3" max="3" width="53.90625" customWidth="1"/>
    <col min="4" max="4" width="13.54296875" customWidth="1"/>
    <col min="5" max="5" width="11.90625" customWidth="1"/>
    <col min="6" max="6" width="20.54296875" customWidth="1"/>
    <col min="7" max="7" width="32.36328125" customWidth="1"/>
  </cols>
  <sheetData>
    <row r="2" spans="1:7" ht="15" thickBot="1" x14ac:dyDescent="0.4"/>
    <row r="3" spans="1:7" ht="15" thickBot="1" x14ac:dyDescent="0.4">
      <c r="A3" s="41" t="s">
        <v>17</v>
      </c>
      <c r="B3" s="42" t="s">
        <v>18</v>
      </c>
      <c r="C3" s="43" t="s">
        <v>26</v>
      </c>
      <c r="D3" s="43" t="s">
        <v>2</v>
      </c>
      <c r="E3" s="43" t="s">
        <v>9</v>
      </c>
      <c r="F3" s="43" t="s">
        <v>27</v>
      </c>
      <c r="G3" s="43" t="s">
        <v>508</v>
      </c>
    </row>
    <row r="4" spans="1:7" ht="15" thickBot="1" x14ac:dyDescent="0.4">
      <c r="A4" s="44">
        <v>1</v>
      </c>
      <c r="B4" s="60" t="s">
        <v>22</v>
      </c>
      <c r="C4" s="61"/>
      <c r="D4" s="61"/>
      <c r="E4" s="61"/>
      <c r="F4" s="61"/>
      <c r="G4" s="62"/>
    </row>
    <row r="5" spans="1:7" ht="80" customHeight="1" thickBot="1" x14ac:dyDescent="0.4">
      <c r="A5" s="45" t="s">
        <v>437</v>
      </c>
      <c r="B5" s="46" t="s">
        <v>509</v>
      </c>
      <c r="C5" s="47" t="s">
        <v>510</v>
      </c>
      <c r="D5" s="48" t="s">
        <v>6</v>
      </c>
      <c r="E5" s="48" t="s">
        <v>13</v>
      </c>
      <c r="F5" s="49" t="s">
        <v>28</v>
      </c>
      <c r="G5" s="47" t="s">
        <v>93</v>
      </c>
    </row>
    <row r="6" spans="1:7" ht="77.5" customHeight="1" thickBot="1" x14ac:dyDescent="0.4">
      <c r="A6" s="50" t="s">
        <v>440</v>
      </c>
      <c r="B6" s="46" t="s">
        <v>315</v>
      </c>
      <c r="C6" s="47" t="s">
        <v>511</v>
      </c>
      <c r="D6" s="51" t="s">
        <v>7</v>
      </c>
      <c r="E6" s="52" t="s">
        <v>13</v>
      </c>
      <c r="F6" s="49" t="s">
        <v>28</v>
      </c>
      <c r="G6" s="47" t="s">
        <v>316</v>
      </c>
    </row>
    <row r="7" spans="1:7" ht="58" x14ac:dyDescent="0.35">
      <c r="A7" s="63" t="s">
        <v>442</v>
      </c>
      <c r="B7" s="65" t="s">
        <v>512</v>
      </c>
      <c r="C7" s="53" t="s">
        <v>513</v>
      </c>
      <c r="D7" s="67" t="s">
        <v>4</v>
      </c>
      <c r="E7" s="69" t="s">
        <v>14</v>
      </c>
      <c r="F7" s="71" t="s">
        <v>28</v>
      </c>
      <c r="G7" s="65" t="s">
        <v>317</v>
      </c>
    </row>
    <row r="8" spans="1:7" ht="15" thickBot="1" x14ac:dyDescent="0.4">
      <c r="A8" s="64"/>
      <c r="B8" s="66"/>
      <c r="C8" s="47" t="s">
        <v>514</v>
      </c>
      <c r="D8" s="68"/>
      <c r="E8" s="70"/>
      <c r="F8" s="72"/>
      <c r="G8" s="66"/>
    </row>
    <row r="9" spans="1:7" ht="15" thickBot="1" x14ac:dyDescent="0.4">
      <c r="A9" s="44">
        <v>2</v>
      </c>
      <c r="B9" s="60" t="s">
        <v>23</v>
      </c>
      <c r="C9" s="61"/>
      <c r="D9" s="61"/>
      <c r="E9" s="61"/>
      <c r="F9" s="61"/>
      <c r="G9" s="62"/>
    </row>
    <row r="10" spans="1:7" ht="88" customHeight="1" thickBot="1" x14ac:dyDescent="0.4">
      <c r="A10" s="45" t="s">
        <v>446</v>
      </c>
      <c r="B10" s="47" t="s">
        <v>515</v>
      </c>
      <c r="C10" s="47" t="s">
        <v>516</v>
      </c>
      <c r="D10" s="54" t="s">
        <v>6</v>
      </c>
      <c r="E10" s="55" t="s">
        <v>14</v>
      </c>
      <c r="F10" s="49" t="s">
        <v>517</v>
      </c>
      <c r="G10" s="47" t="s">
        <v>518</v>
      </c>
    </row>
    <row r="11" spans="1:7" ht="70" customHeight="1" thickBot="1" x14ac:dyDescent="0.4">
      <c r="A11" s="50" t="s">
        <v>519</v>
      </c>
      <c r="B11" s="47" t="s">
        <v>520</v>
      </c>
      <c r="C11" s="47" t="s">
        <v>521</v>
      </c>
      <c r="D11" s="56" t="s">
        <v>4</v>
      </c>
      <c r="E11" s="51" t="s">
        <v>14</v>
      </c>
      <c r="F11" s="49" t="s">
        <v>28</v>
      </c>
      <c r="G11" s="47" t="s">
        <v>522</v>
      </c>
    </row>
    <row r="12" spans="1:7" ht="72" customHeight="1" thickBot="1" x14ac:dyDescent="0.4">
      <c r="A12" s="57" t="s">
        <v>523</v>
      </c>
      <c r="B12" s="47" t="s">
        <v>318</v>
      </c>
      <c r="C12" s="47" t="s">
        <v>92</v>
      </c>
      <c r="D12" s="58" t="s">
        <v>3</v>
      </c>
      <c r="E12" s="51" t="s">
        <v>14</v>
      </c>
      <c r="F12" s="49" t="s">
        <v>28</v>
      </c>
      <c r="G12" s="47" t="s">
        <v>91</v>
      </c>
    </row>
    <row r="13" spans="1:7" ht="101.5" x14ac:dyDescent="0.35">
      <c r="A13" s="74" t="s">
        <v>524</v>
      </c>
      <c r="B13" s="65" t="s">
        <v>525</v>
      </c>
      <c r="C13" s="65" t="s">
        <v>526</v>
      </c>
      <c r="D13" s="76" t="s">
        <v>4</v>
      </c>
      <c r="E13" s="69" t="s">
        <v>14</v>
      </c>
      <c r="F13" s="71" t="s">
        <v>28</v>
      </c>
      <c r="G13" s="53" t="s">
        <v>527</v>
      </c>
    </row>
    <row r="14" spans="1:7" ht="31" customHeight="1" thickBot="1" x14ac:dyDescent="0.4">
      <c r="A14" s="75"/>
      <c r="B14" s="66"/>
      <c r="C14" s="66"/>
      <c r="D14" s="77"/>
      <c r="E14" s="70"/>
      <c r="F14" s="72"/>
      <c r="G14" s="47" t="s">
        <v>528</v>
      </c>
    </row>
    <row r="15" spans="1:7" ht="15" thickBot="1" x14ac:dyDescent="0.4">
      <c r="A15" s="44">
        <v>3</v>
      </c>
      <c r="B15" s="60" t="s">
        <v>24</v>
      </c>
      <c r="C15" s="61"/>
      <c r="D15" s="61"/>
      <c r="E15" s="61"/>
      <c r="F15" s="61"/>
      <c r="G15" s="62"/>
    </row>
    <row r="16" spans="1:7" ht="3" customHeight="1" x14ac:dyDescent="0.35">
      <c r="A16" s="78" t="s">
        <v>529</v>
      </c>
      <c r="B16" s="65" t="s">
        <v>90</v>
      </c>
      <c r="C16" s="65" t="s">
        <v>319</v>
      </c>
      <c r="D16" s="74" t="s">
        <v>6</v>
      </c>
      <c r="E16" s="78" t="s">
        <v>15</v>
      </c>
      <c r="F16" s="71" t="s">
        <v>28</v>
      </c>
      <c r="G16" s="53" t="s">
        <v>530</v>
      </c>
    </row>
    <row r="17" spans="1:7" ht="43.5" hidden="1" x14ac:dyDescent="0.35">
      <c r="A17" s="79"/>
      <c r="B17" s="81"/>
      <c r="C17" s="81"/>
      <c r="D17" s="73"/>
      <c r="E17" s="79"/>
      <c r="F17" s="82"/>
      <c r="G17" s="53" t="s">
        <v>531</v>
      </c>
    </row>
    <row r="18" spans="1:7" ht="57.5" customHeight="1" thickBot="1" x14ac:dyDescent="0.4">
      <c r="A18" s="80"/>
      <c r="B18" s="66"/>
      <c r="C18" s="66"/>
      <c r="D18" s="75"/>
      <c r="E18" s="80"/>
      <c r="F18" s="72"/>
      <c r="G18" s="47" t="s">
        <v>532</v>
      </c>
    </row>
    <row r="19" spans="1:7" ht="74" customHeight="1" thickBot="1" x14ac:dyDescent="0.4">
      <c r="A19" s="57" t="s">
        <v>457</v>
      </c>
      <c r="B19" s="47" t="s">
        <v>374</v>
      </c>
      <c r="C19" s="47" t="s">
        <v>375</v>
      </c>
      <c r="D19" s="58" t="s">
        <v>3</v>
      </c>
      <c r="E19" s="59" t="s">
        <v>15</v>
      </c>
      <c r="F19" s="49" t="s">
        <v>28</v>
      </c>
      <c r="G19" s="47" t="s">
        <v>320</v>
      </c>
    </row>
    <row r="20" spans="1:7" ht="15" thickBot="1" x14ac:dyDescent="0.4">
      <c r="A20" s="44">
        <v>4</v>
      </c>
      <c r="B20" s="60" t="s">
        <v>25</v>
      </c>
      <c r="C20" s="61"/>
      <c r="D20" s="61"/>
      <c r="E20" s="61"/>
      <c r="F20" s="61"/>
      <c r="G20" s="62"/>
    </row>
    <row r="21" spans="1:7" ht="97.5" customHeight="1" thickBot="1" x14ac:dyDescent="0.4">
      <c r="A21" s="45" t="s">
        <v>449</v>
      </c>
      <c r="B21" s="47" t="s">
        <v>89</v>
      </c>
      <c r="C21" s="47" t="s">
        <v>88</v>
      </c>
      <c r="D21" s="54" t="s">
        <v>4</v>
      </c>
      <c r="E21" s="55" t="s">
        <v>14</v>
      </c>
      <c r="F21" s="49" t="s">
        <v>28</v>
      </c>
      <c r="G21" s="47" t="s">
        <v>321</v>
      </c>
    </row>
  </sheetData>
  <mergeCells count="22">
    <mergeCell ref="E13:E14"/>
    <mergeCell ref="F13:F14"/>
    <mergeCell ref="A16:A18"/>
    <mergeCell ref="B16:B18"/>
    <mergeCell ref="C16:C18"/>
    <mergeCell ref="D16:D18"/>
    <mergeCell ref="E16:E18"/>
    <mergeCell ref="F16:F18"/>
    <mergeCell ref="B4:G4"/>
    <mergeCell ref="A7:A8"/>
    <mergeCell ref="B7:B8"/>
    <mergeCell ref="D7:D8"/>
    <mergeCell ref="E7:E8"/>
    <mergeCell ref="F7:F8"/>
    <mergeCell ref="G7:G8"/>
    <mergeCell ref="B9:G9"/>
    <mergeCell ref="A13:A14"/>
    <mergeCell ref="B15:G15"/>
    <mergeCell ref="B20:G20"/>
    <mergeCell ref="B13:B14"/>
    <mergeCell ref="C13:C14"/>
    <mergeCell ref="D13:D14"/>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4C08C-8442-4612-9310-C9349766C9DA}">
  <dimension ref="B1:K27"/>
  <sheetViews>
    <sheetView showGridLines="0" topLeftCell="D1" zoomScale="90" zoomScaleNormal="90" workbookViewId="0">
      <selection activeCell="D5" sqref="D5"/>
    </sheetView>
  </sheetViews>
  <sheetFormatPr defaultColWidth="33.453125" defaultRowHeight="14.5" x14ac:dyDescent="0.35"/>
  <cols>
    <col min="1" max="1" width="2" customWidth="1"/>
    <col min="2" max="2" width="5.1796875" bestFit="1" customWidth="1"/>
    <col min="3" max="3" width="34.1796875" customWidth="1"/>
    <col min="4" max="4" width="72.453125" style="32" customWidth="1"/>
    <col min="5" max="5" width="20.7265625" customWidth="1"/>
    <col min="6" max="6" width="19.453125" customWidth="1"/>
    <col min="7" max="7" width="14.7265625" style="21" customWidth="1"/>
    <col min="8" max="8" width="61.7265625" customWidth="1"/>
    <col min="11" max="11" width="4.81640625" customWidth="1"/>
  </cols>
  <sheetData>
    <row r="1" spans="2:11" ht="186.75" customHeight="1" x14ac:dyDescent="0.35">
      <c r="I1" s="87" t="s">
        <v>568</v>
      </c>
    </row>
    <row r="2" spans="2:11" x14ac:dyDescent="0.35">
      <c r="B2" s="8" t="s">
        <v>17</v>
      </c>
      <c r="C2" s="9" t="s">
        <v>18</v>
      </c>
      <c r="D2" s="8" t="s">
        <v>26</v>
      </c>
      <c r="E2" s="8" t="s">
        <v>2</v>
      </c>
      <c r="F2" s="8" t="s">
        <v>9</v>
      </c>
      <c r="G2" s="8" t="s">
        <v>27</v>
      </c>
      <c r="H2" s="10" t="s">
        <v>19</v>
      </c>
      <c r="K2" s="3"/>
    </row>
    <row r="3" spans="2:11" x14ac:dyDescent="0.35">
      <c r="B3" s="11">
        <v>1</v>
      </c>
      <c r="C3" s="34" t="s">
        <v>22</v>
      </c>
      <c r="D3" s="35"/>
      <c r="E3" s="35"/>
      <c r="F3" s="35"/>
      <c r="G3" s="35"/>
      <c r="H3" s="36"/>
      <c r="K3" s="4"/>
    </row>
    <row r="4" spans="2:11" ht="48" customHeight="1" x14ac:dyDescent="0.35">
      <c r="B4" s="12" t="str">
        <f>$B$3&amp;"."&amp;[12]Ratings!B25</f>
        <v>1.1</v>
      </c>
      <c r="C4" s="13" t="s">
        <v>377</v>
      </c>
      <c r="D4" s="14" t="s">
        <v>411</v>
      </c>
      <c r="E4" s="12" t="s">
        <v>7</v>
      </c>
      <c r="F4" s="12" t="s">
        <v>13</v>
      </c>
      <c r="G4" s="20" t="s">
        <v>28</v>
      </c>
      <c r="H4" s="14" t="s">
        <v>412</v>
      </c>
      <c r="K4" s="4" t="str">
        <f>IFERROR(VLOOKUP(CONCATENATE(E4,F4),[12]Ratings!$H$3:$I$27,2,FALSE),)</f>
        <v>Orange</v>
      </c>
    </row>
    <row r="5" spans="2:11" ht="138" customHeight="1" x14ac:dyDescent="0.35">
      <c r="B5" s="12" t="str">
        <f>$B$3&amp;"."&amp;[12]Ratings!B26</f>
        <v>1.2</v>
      </c>
      <c r="C5" s="13" t="s">
        <v>410</v>
      </c>
      <c r="D5" s="14" t="s">
        <v>567</v>
      </c>
      <c r="E5" s="12" t="s">
        <v>7</v>
      </c>
      <c r="F5" s="12" t="s">
        <v>15</v>
      </c>
      <c r="G5" s="20" t="s">
        <v>28</v>
      </c>
      <c r="H5" s="14" t="s">
        <v>566</v>
      </c>
      <c r="K5" s="4" t="str">
        <f>IFERROR(VLOOKUP(CONCATENATE(E5,F5),[12]Ratings!$H$3:$I$27,2,FALSE),)</f>
        <v>Red</v>
      </c>
    </row>
    <row r="6" spans="2:11" ht="62.25" customHeight="1" x14ac:dyDescent="0.35">
      <c r="B6" s="86" t="str">
        <f>$B$3&amp;"."&amp;[12]Ratings!B27</f>
        <v>1.3</v>
      </c>
      <c r="C6" s="13" t="s">
        <v>565</v>
      </c>
      <c r="D6" s="14" t="s">
        <v>564</v>
      </c>
      <c r="E6" s="12" t="s">
        <v>7</v>
      </c>
      <c r="F6" s="12" t="s">
        <v>15</v>
      </c>
      <c r="G6" s="20" t="s">
        <v>28</v>
      </c>
      <c r="H6" s="14" t="s">
        <v>563</v>
      </c>
      <c r="K6" s="4"/>
    </row>
    <row r="7" spans="2:11" ht="55.5" customHeight="1" x14ac:dyDescent="0.35">
      <c r="B7" s="12" t="str">
        <f>$B$3&amp;"."&amp;[12]Ratings!B28</f>
        <v>1.4</v>
      </c>
      <c r="C7" s="13" t="s">
        <v>378</v>
      </c>
      <c r="D7" s="14" t="s">
        <v>414</v>
      </c>
      <c r="E7" s="12" t="s">
        <v>8</v>
      </c>
      <c r="F7" s="12" t="s">
        <v>14</v>
      </c>
      <c r="G7" s="20" t="s">
        <v>28</v>
      </c>
      <c r="H7" s="14" t="s">
        <v>413</v>
      </c>
      <c r="K7" s="4" t="str">
        <f>IFERROR(VLOOKUP(CONCATENATE(E7,F7),[12]Ratings!$H$3:$I$27,2,FALSE),)</f>
        <v>Red</v>
      </c>
    </row>
    <row r="8" spans="2:11" ht="41.25" customHeight="1" x14ac:dyDescent="0.35">
      <c r="B8" s="86" t="str">
        <f>$B$3&amp;"."&amp;[12]Ratings!B29</f>
        <v>1.5</v>
      </c>
      <c r="C8" s="13" t="s">
        <v>379</v>
      </c>
      <c r="D8" s="14" t="s">
        <v>415</v>
      </c>
      <c r="E8" s="12" t="s">
        <v>8</v>
      </c>
      <c r="F8" s="12" t="s">
        <v>14</v>
      </c>
      <c r="G8" s="20" t="s">
        <v>28</v>
      </c>
      <c r="H8" s="14" t="s">
        <v>416</v>
      </c>
      <c r="K8" s="4" t="str">
        <f>IFERROR(VLOOKUP(CONCATENATE(E8,F8),[12]Ratings!$H$3:$I$27,2,FALSE),)</f>
        <v>Red</v>
      </c>
    </row>
    <row r="9" spans="2:11" ht="48.75" customHeight="1" x14ac:dyDescent="0.35">
      <c r="B9" s="86" t="str">
        <f>$B$3&amp;"."&amp;[12]Ratings!B30</f>
        <v>1.6</v>
      </c>
      <c r="C9" s="13" t="s">
        <v>562</v>
      </c>
      <c r="D9" s="14" t="s">
        <v>561</v>
      </c>
      <c r="E9" s="12" t="s">
        <v>7</v>
      </c>
      <c r="F9" s="12" t="s">
        <v>15</v>
      </c>
      <c r="G9" s="20" t="s">
        <v>28</v>
      </c>
      <c r="H9" s="14" t="s">
        <v>560</v>
      </c>
      <c r="K9" s="4"/>
    </row>
    <row r="10" spans="2:11" ht="86.25" customHeight="1" x14ac:dyDescent="0.35">
      <c r="B10" s="86" t="str">
        <f>$B$3&amp;"."&amp;[12]Ratings!B31</f>
        <v>1.7</v>
      </c>
      <c r="C10" s="13" t="s">
        <v>417</v>
      </c>
      <c r="D10" s="14" t="s">
        <v>380</v>
      </c>
      <c r="E10" s="12" t="s">
        <v>7</v>
      </c>
      <c r="F10" s="12" t="s">
        <v>14</v>
      </c>
      <c r="G10" s="20" t="s">
        <v>28</v>
      </c>
      <c r="H10" s="22" t="s">
        <v>559</v>
      </c>
      <c r="K10" s="4" t="str">
        <f>IFERROR(VLOOKUP(CONCATENATE(E10,F10),[12]Ratings!$H$3:$I$27,2,FALSE),)</f>
        <v>Red</v>
      </c>
    </row>
    <row r="11" spans="2:11" x14ac:dyDescent="0.35">
      <c r="B11" s="11">
        <v>2</v>
      </c>
      <c r="C11" s="34" t="s">
        <v>23</v>
      </c>
      <c r="D11" s="35"/>
      <c r="E11" s="35"/>
      <c r="F11" s="35"/>
      <c r="G11" s="35"/>
      <c r="H11" s="36"/>
      <c r="K11" s="4">
        <f>IFERROR(VLOOKUP(CONCATENATE(E11,F11),[12]Ratings!$H$3:$I$27,2,FALSE),)</f>
        <v>0</v>
      </c>
    </row>
    <row r="12" spans="2:11" ht="98.25" customHeight="1" x14ac:dyDescent="0.35">
      <c r="B12" s="12" t="str">
        <f>$B$11&amp;"."&amp;[12]Ratings!B25</f>
        <v>2.1</v>
      </c>
      <c r="C12" s="13" t="s">
        <v>381</v>
      </c>
      <c r="D12" s="14" t="s">
        <v>382</v>
      </c>
      <c r="E12" s="12" t="s">
        <v>6</v>
      </c>
      <c r="F12" s="12" t="s">
        <v>14</v>
      </c>
      <c r="G12" s="20" t="s">
        <v>28</v>
      </c>
      <c r="H12" s="14" t="s">
        <v>558</v>
      </c>
      <c r="K12" s="4" t="str">
        <f>IFERROR(VLOOKUP(CONCATENATE(E12,F12),[12]Ratings!$H$3:$I$27,2,FALSE),)</f>
        <v>Orange</v>
      </c>
    </row>
    <row r="13" spans="2:11" ht="81.75" customHeight="1" x14ac:dyDescent="0.35">
      <c r="B13" s="12" t="str">
        <f>$B$11&amp;"."&amp;[12]Ratings!B26</f>
        <v>2.2</v>
      </c>
      <c r="C13" s="13" t="s">
        <v>383</v>
      </c>
      <c r="D13" s="14" t="s">
        <v>384</v>
      </c>
      <c r="E13" s="12" t="s">
        <v>6</v>
      </c>
      <c r="F13" s="12" t="s">
        <v>14</v>
      </c>
      <c r="G13" s="20" t="s">
        <v>28</v>
      </c>
      <c r="H13" s="14" t="s">
        <v>385</v>
      </c>
      <c r="K13" s="4" t="str">
        <f>IFERROR(VLOOKUP(CONCATENATE(E13,F13),[12]Ratings!$H$3:$I$27,2,FALSE),)</f>
        <v>Orange</v>
      </c>
    </row>
    <row r="14" spans="2:11" ht="62.25" customHeight="1" x14ac:dyDescent="0.35">
      <c r="B14" s="12" t="str">
        <f>$B$11&amp;"."&amp;[12]Ratings!B27</f>
        <v>2.3</v>
      </c>
      <c r="C14" s="13" t="s">
        <v>386</v>
      </c>
      <c r="D14" s="14" t="s">
        <v>387</v>
      </c>
      <c r="E14" s="12" t="s">
        <v>6</v>
      </c>
      <c r="F14" s="12" t="s">
        <v>15</v>
      </c>
      <c r="G14" s="20" t="s">
        <v>28</v>
      </c>
      <c r="H14" s="14" t="s">
        <v>388</v>
      </c>
      <c r="K14" s="4" t="str">
        <f>IFERROR(VLOOKUP(CONCATENATE(E14,F14),[12]Ratings!$H$3:$I$27,2,FALSE),)</f>
        <v>Red</v>
      </c>
    </row>
    <row r="15" spans="2:11" ht="63" customHeight="1" x14ac:dyDescent="0.35">
      <c r="B15" s="12" t="str">
        <f>$B$11&amp;"."&amp;[12]Ratings!B28</f>
        <v>2.4</v>
      </c>
      <c r="C15" s="13" t="s">
        <v>389</v>
      </c>
      <c r="D15" s="14" t="s">
        <v>390</v>
      </c>
      <c r="E15" s="12" t="s">
        <v>7</v>
      </c>
      <c r="F15" s="12" t="s">
        <v>14</v>
      </c>
      <c r="G15" s="20" t="s">
        <v>28</v>
      </c>
      <c r="H15" s="14" t="s">
        <v>391</v>
      </c>
      <c r="K15" s="4" t="str">
        <f>IFERROR(VLOOKUP(CONCATENATE(E15,F15),[12]Ratings!$H$3:$I$27,2,FALSE),)</f>
        <v>Red</v>
      </c>
    </row>
    <row r="16" spans="2:11" ht="82.5" customHeight="1" x14ac:dyDescent="0.35">
      <c r="B16" s="12" t="str">
        <f>$B$11&amp;"."&amp;[12]Ratings!B29</f>
        <v>2.5</v>
      </c>
      <c r="C16" s="13" t="s">
        <v>392</v>
      </c>
      <c r="D16" s="14" t="s">
        <v>418</v>
      </c>
      <c r="E16" s="12" t="s">
        <v>4</v>
      </c>
      <c r="F16" s="12" t="s">
        <v>15</v>
      </c>
      <c r="G16" s="20" t="s">
        <v>28</v>
      </c>
      <c r="H16" s="14" t="s">
        <v>419</v>
      </c>
      <c r="K16" s="4" t="str">
        <f>IFERROR(VLOOKUP(CONCATENATE(E16,F16),[12]Ratings!$H$3:$I$27,2,FALSE),)</f>
        <v>Orange</v>
      </c>
    </row>
    <row r="17" spans="2:11" ht="95.25" customHeight="1" x14ac:dyDescent="0.35">
      <c r="B17" s="12" t="str">
        <f>$B$11&amp;"."&amp;[12]Ratings!B30</f>
        <v>2.6</v>
      </c>
      <c r="C17" s="13" t="s">
        <v>423</v>
      </c>
      <c r="D17" s="14" t="s">
        <v>396</v>
      </c>
      <c r="E17" s="12" t="s">
        <v>3</v>
      </c>
      <c r="F17" s="12" t="s">
        <v>12</v>
      </c>
      <c r="G17" s="20" t="s">
        <v>30</v>
      </c>
      <c r="H17" s="14" t="s">
        <v>424</v>
      </c>
      <c r="K17" s="4" t="str">
        <f>IFERROR(VLOOKUP(CONCATENATE(E17,F17),[12]Ratings!$H$3:$I$27,2,FALSE),)</f>
        <v>Green</v>
      </c>
    </row>
    <row r="18" spans="2:11" x14ac:dyDescent="0.35">
      <c r="B18" s="11">
        <v>3</v>
      </c>
      <c r="C18" s="34" t="s">
        <v>24</v>
      </c>
      <c r="D18" s="35"/>
      <c r="E18" s="35"/>
      <c r="F18" s="35"/>
      <c r="G18" s="35"/>
      <c r="H18" s="36"/>
      <c r="K18" s="4">
        <f>IFERROR(VLOOKUP(CONCATENATE(E18,F18),[12]Ratings!$H$3:$I$27,2,FALSE),)</f>
        <v>0</v>
      </c>
    </row>
    <row r="19" spans="2:11" ht="93" customHeight="1" x14ac:dyDescent="0.35">
      <c r="B19" s="12" t="str">
        <f>$B$18&amp;"."&amp;[12]Ratings!B25</f>
        <v>3.1</v>
      </c>
      <c r="C19" s="13" t="s">
        <v>420</v>
      </c>
      <c r="D19" s="14" t="s">
        <v>421</v>
      </c>
      <c r="E19" s="12" t="s">
        <v>3</v>
      </c>
      <c r="F19" s="12" t="s">
        <v>12</v>
      </c>
      <c r="G19" s="20" t="s">
        <v>28</v>
      </c>
      <c r="H19" s="14" t="s">
        <v>393</v>
      </c>
      <c r="K19" s="4" t="str">
        <f>IFERROR(VLOOKUP(CONCATENATE(E19,F19),[12]Ratings!$H$3:$I$27,2,FALSE),)</f>
        <v>Green</v>
      </c>
    </row>
    <row r="20" spans="2:11" ht="106.5" customHeight="1" x14ac:dyDescent="0.35">
      <c r="B20" s="12" t="str">
        <f>$B$18&amp;"."&amp;[12]Ratings!B26</f>
        <v>3.2</v>
      </c>
      <c r="C20" s="13" t="s">
        <v>394</v>
      </c>
      <c r="D20" s="14" t="s">
        <v>422</v>
      </c>
      <c r="E20" s="12" t="s">
        <v>4</v>
      </c>
      <c r="F20" s="12" t="s">
        <v>13</v>
      </c>
      <c r="G20" s="20" t="s">
        <v>28</v>
      </c>
      <c r="H20" s="14" t="s">
        <v>395</v>
      </c>
      <c r="K20" s="4" t="str">
        <f>IFERROR(VLOOKUP(CONCATENATE(E20,F20),[12]Ratings!$H$3:$I$27,2,FALSE),)</f>
        <v>Yellow</v>
      </c>
    </row>
    <row r="21" spans="2:11" ht="68.25" customHeight="1" x14ac:dyDescent="0.35">
      <c r="B21" s="12" t="str">
        <f>$B$18&amp;"."&amp;[12]Ratings!B27</f>
        <v>3.3</v>
      </c>
      <c r="C21" s="13" t="s">
        <v>397</v>
      </c>
      <c r="D21" s="14" t="s">
        <v>398</v>
      </c>
      <c r="E21" s="12" t="s">
        <v>6</v>
      </c>
      <c r="F21" s="12" t="s">
        <v>12</v>
      </c>
      <c r="G21" s="20" t="s">
        <v>28</v>
      </c>
      <c r="H21" s="14" t="s">
        <v>399</v>
      </c>
      <c r="K21" s="4" t="str">
        <f>IFERROR(VLOOKUP(CONCATENATE(E21,F21),[12]Ratings!$H$3:$I$27,2,FALSE),)</f>
        <v>Yellow</v>
      </c>
    </row>
    <row r="22" spans="2:11" ht="96" customHeight="1" x14ac:dyDescent="0.35">
      <c r="B22" s="12" t="str">
        <f>$B$18&amp;"."&amp;[12]Ratings!B28</f>
        <v>3.4</v>
      </c>
      <c r="C22" s="13" t="s">
        <v>425</v>
      </c>
      <c r="D22" s="14" t="s">
        <v>400</v>
      </c>
      <c r="E22" s="12" t="s">
        <v>7</v>
      </c>
      <c r="F22" s="12" t="s">
        <v>13</v>
      </c>
      <c r="G22" s="20" t="s">
        <v>28</v>
      </c>
      <c r="H22" s="14" t="s">
        <v>401</v>
      </c>
      <c r="K22" s="4" t="str">
        <f>IFERROR(VLOOKUP(CONCATENATE(E22,F22),[12]Ratings!$H$3:$I$27,2,FALSE),)</f>
        <v>Orange</v>
      </c>
    </row>
    <row r="23" spans="2:11" x14ac:dyDescent="0.35">
      <c r="B23" s="11">
        <v>4</v>
      </c>
      <c r="C23" s="34" t="s">
        <v>25</v>
      </c>
      <c r="D23" s="35"/>
      <c r="E23" s="35"/>
      <c r="F23" s="35"/>
      <c r="G23" s="35"/>
      <c r="H23" s="36"/>
      <c r="K23" s="4">
        <f>IFERROR(VLOOKUP(CONCATENATE(E23,F23),[12]Ratings!$H$3:$I$27,2,FALSE),)</f>
        <v>0</v>
      </c>
    </row>
    <row r="24" spans="2:11" ht="95.25" customHeight="1" x14ac:dyDescent="0.35">
      <c r="B24" s="12" t="str">
        <f>$B$23&amp;"."&amp;[12]Ratings!B25</f>
        <v>4.1</v>
      </c>
      <c r="C24" s="13" t="s">
        <v>402</v>
      </c>
      <c r="D24" s="14" t="s">
        <v>403</v>
      </c>
      <c r="E24" s="12" t="s">
        <v>6</v>
      </c>
      <c r="F24" s="12" t="s">
        <v>14</v>
      </c>
      <c r="G24" s="20" t="s">
        <v>28</v>
      </c>
      <c r="H24" s="14" t="s">
        <v>404</v>
      </c>
      <c r="K24" s="4" t="str">
        <f>IFERROR(VLOOKUP(CONCATENATE(E24,F24),[12]Ratings!$H$3:$I$27,2,FALSE),)</f>
        <v>Orange</v>
      </c>
    </row>
    <row r="25" spans="2:11" ht="54.75" customHeight="1" x14ac:dyDescent="0.35">
      <c r="B25" s="12" t="str">
        <f>$B$23&amp;"."&amp;[12]Ratings!B26</f>
        <v>4.2</v>
      </c>
      <c r="C25" s="13" t="s">
        <v>405</v>
      </c>
      <c r="D25" s="14" t="s">
        <v>406</v>
      </c>
      <c r="E25" s="12" t="s">
        <v>4</v>
      </c>
      <c r="F25" s="12" t="s">
        <v>13</v>
      </c>
      <c r="G25" s="20" t="s">
        <v>28</v>
      </c>
      <c r="H25" s="14" t="s">
        <v>407</v>
      </c>
      <c r="K25" s="4" t="str">
        <f>IFERROR(VLOOKUP(CONCATENATE(E25,F25),[12]Ratings!$H$3:$I$27,2,FALSE),)</f>
        <v>Yellow</v>
      </c>
    </row>
    <row r="26" spans="2:11" ht="75.75" customHeight="1" x14ac:dyDescent="0.35">
      <c r="B26" s="12" t="str">
        <f>$B$23&amp;"."&amp;[12]Ratings!B27</f>
        <v>4.3</v>
      </c>
      <c r="C26" s="13" t="s">
        <v>408</v>
      </c>
      <c r="D26" s="14" t="s">
        <v>426</v>
      </c>
      <c r="E26" s="12" t="s">
        <v>4</v>
      </c>
      <c r="F26" s="12" t="s">
        <v>14</v>
      </c>
      <c r="G26" s="20" t="s">
        <v>28</v>
      </c>
      <c r="H26" s="14" t="s">
        <v>427</v>
      </c>
      <c r="K26" s="4" t="str">
        <f>IFERROR(VLOOKUP(CONCATENATE(E26,F26),[12]Ratings!$H$3:$I$27,2,FALSE),)</f>
        <v>Orange</v>
      </c>
    </row>
    <row r="27" spans="2:11" ht="39.75" customHeight="1" x14ac:dyDescent="0.35">
      <c r="B27" s="12" t="str">
        <f>$B$23&amp;"."&amp;[12]Ratings!B28</f>
        <v>4.4</v>
      </c>
      <c r="C27" s="13" t="s">
        <v>428</v>
      </c>
      <c r="D27" s="14" t="s">
        <v>429</v>
      </c>
      <c r="E27" s="12" t="s">
        <v>4</v>
      </c>
      <c r="F27" s="12" t="s">
        <v>13</v>
      </c>
      <c r="G27" s="20" t="s">
        <v>28</v>
      </c>
      <c r="H27" s="14" t="s">
        <v>409</v>
      </c>
      <c r="K27" s="4" t="str">
        <f>IFERROR(VLOOKUP(CONCATENATE(E27,F27),[12]Ratings!$H$3:$I$27,2,FALSE),)</f>
        <v>Yellow</v>
      </c>
    </row>
  </sheetData>
  <mergeCells count="4">
    <mergeCell ref="C3:H3"/>
    <mergeCell ref="C11:H11"/>
    <mergeCell ref="C18:H18"/>
    <mergeCell ref="C23:H23"/>
  </mergeCells>
  <conditionalFormatting sqref="B18:B1048576 B2:B16">
    <cfRule type="expression" dxfId="32" priority="14">
      <formula>K2="Red"</formula>
    </cfRule>
    <cfRule type="expression" dxfId="31" priority="15">
      <formula>K2="Orange"</formula>
    </cfRule>
    <cfRule type="expression" dxfId="30" priority="16">
      <formula>K2="Yellow"</formula>
    </cfRule>
    <cfRule type="expression" dxfId="29" priority="17">
      <formula>K2="Green"</formula>
    </cfRule>
  </conditionalFormatting>
  <conditionalFormatting sqref="B1">
    <cfRule type="expression" dxfId="28" priority="5">
      <formula>K1="Red"</formula>
    </cfRule>
    <cfRule type="expression" dxfId="27" priority="6">
      <formula>K1="Orange"</formula>
    </cfRule>
    <cfRule type="expression" dxfId="26" priority="7">
      <formula>K1="Yellow"</formula>
    </cfRule>
    <cfRule type="expression" dxfId="25" priority="8">
      <formula>K1="Green"</formula>
    </cfRule>
  </conditionalFormatting>
  <conditionalFormatting sqref="B17">
    <cfRule type="expression" dxfId="24" priority="1">
      <formula>K17="Red"</formula>
    </cfRule>
    <cfRule type="expression" dxfId="23" priority="2">
      <formula>K17="Orange"</formula>
    </cfRule>
    <cfRule type="expression" dxfId="22" priority="3">
      <formula>K17="Yellow"</formula>
    </cfRule>
    <cfRule type="expression" dxfId="21" priority="4">
      <formula>K17="Green"</formula>
    </cfRule>
  </conditionalFormatting>
  <conditionalFormatting sqref="G2">
    <cfRule type="cellIs" dxfId="20" priority="9" operator="equal">
      <formula>#REF!</formula>
    </cfRule>
    <cfRule type="cellIs" dxfId="19" priority="10" operator="equal">
      <formula>#REF!</formula>
    </cfRule>
    <cfRule type="cellIs" dxfId="18" priority="11" operator="equal">
      <formula>#REF!</formula>
    </cfRule>
    <cfRule type="cellIs" dxfId="17" priority="12" operator="equal">
      <formula>#REF!</formula>
    </cfRule>
    <cfRule type="cellIs" dxfId="16" priority="13" operator="equal">
      <formula>#REF!</formula>
    </cfRule>
  </conditionalFormatting>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6A5EE-3DF0-4C23-BCF9-FC59A959280F}">
  <dimension ref="B1:L23"/>
  <sheetViews>
    <sheetView showGridLines="0" zoomScale="80" zoomScaleNormal="80" workbookViewId="0">
      <pane xSplit="1" ySplit="2" topLeftCell="C3" activePane="bottomRight" state="frozen"/>
      <selection pane="topRight" activeCell="B1" sqref="B1"/>
      <selection pane="bottomLeft" activeCell="A3" sqref="A3"/>
      <selection pane="bottomRight" activeCell="F24" sqref="F24"/>
    </sheetView>
  </sheetViews>
  <sheetFormatPr defaultColWidth="33.453125" defaultRowHeight="14.5" x14ac:dyDescent="0.35"/>
  <cols>
    <col min="1" max="1" width="2" customWidth="1"/>
    <col min="2" max="2" width="5.1796875" bestFit="1" customWidth="1"/>
    <col min="3" max="3" width="32.54296875" bestFit="1" customWidth="1"/>
    <col min="5" max="6" width="21.81640625" customWidth="1"/>
    <col min="7" max="7" width="38.26953125" customWidth="1"/>
    <col min="12" max="12" width="4.81640625" customWidth="1"/>
  </cols>
  <sheetData>
    <row r="1" spans="2:12" ht="193.5" customHeight="1" x14ac:dyDescent="0.35"/>
    <row r="2" spans="2:12" x14ac:dyDescent="0.35">
      <c r="B2" s="8" t="s">
        <v>17</v>
      </c>
      <c r="C2" s="9" t="s">
        <v>18</v>
      </c>
      <c r="D2" s="8" t="s">
        <v>19</v>
      </c>
      <c r="E2" s="8" t="s">
        <v>2</v>
      </c>
      <c r="F2" s="8" t="s">
        <v>20</v>
      </c>
      <c r="G2" s="10" t="s">
        <v>612</v>
      </c>
      <c r="H2" s="94" t="s">
        <v>611</v>
      </c>
      <c r="I2" s="94" t="s">
        <v>610</v>
      </c>
      <c r="L2" s="3"/>
    </row>
    <row r="3" spans="2:12" x14ac:dyDescent="0.35">
      <c r="B3" s="11">
        <v>1</v>
      </c>
      <c r="C3" s="34" t="s">
        <v>609</v>
      </c>
      <c r="D3" s="35"/>
      <c r="E3" s="35"/>
      <c r="F3" s="35"/>
      <c r="G3" s="35"/>
      <c r="H3" s="35"/>
      <c r="I3" s="36"/>
      <c r="L3" s="4"/>
    </row>
    <row r="4" spans="2:12" ht="110.25" customHeight="1" x14ac:dyDescent="0.35">
      <c r="B4" s="12" t="str">
        <f>$B$3&amp;"."&amp;[13]Ratings!B20</f>
        <v>1.1</v>
      </c>
      <c r="C4" s="13" t="s">
        <v>608</v>
      </c>
      <c r="D4" s="14" t="s">
        <v>607</v>
      </c>
      <c r="E4" s="12" t="s">
        <v>6</v>
      </c>
      <c r="F4" s="12" t="s">
        <v>13</v>
      </c>
      <c r="G4" s="14" t="s">
        <v>606</v>
      </c>
      <c r="H4" s="14" t="s">
        <v>575</v>
      </c>
      <c r="I4" s="14" t="s">
        <v>574</v>
      </c>
      <c r="L4" s="4" t="str">
        <f>IFERROR(VLOOKUP(CONCATENATE(E4,F4),[13]Ratings!$H$3:$I$27,2,FALSE),)</f>
        <v>Orange</v>
      </c>
    </row>
    <row r="5" spans="2:12" x14ac:dyDescent="0.35">
      <c r="B5" s="92" t="s">
        <v>529</v>
      </c>
      <c r="C5" s="90" t="s">
        <v>605</v>
      </c>
      <c r="D5" s="89"/>
      <c r="E5" s="89"/>
      <c r="F5" s="89"/>
      <c r="G5" s="89"/>
      <c r="H5" s="89"/>
      <c r="I5" s="88"/>
      <c r="L5" s="4">
        <f>IFERROR(VLOOKUP(CONCATENATE(E5,F5),[13]Ratings!$H$3:$I$27,2,FALSE),)</f>
        <v>0</v>
      </c>
    </row>
    <row r="6" spans="2:12" ht="78" customHeight="1" x14ac:dyDescent="0.35">
      <c r="B6" s="12" t="str">
        <f>$B$5&amp;"."&amp;[13]Ratings!B20</f>
        <v>3.1.1</v>
      </c>
      <c r="C6" s="13" t="s">
        <v>604</v>
      </c>
      <c r="D6" s="14" t="s">
        <v>603</v>
      </c>
      <c r="E6" s="12" t="s">
        <v>4</v>
      </c>
      <c r="F6" s="12" t="s">
        <v>14</v>
      </c>
      <c r="G6" s="14" t="s">
        <v>602</v>
      </c>
      <c r="H6" s="14" t="s">
        <v>596</v>
      </c>
      <c r="I6" s="14" t="s">
        <v>569</v>
      </c>
      <c r="L6" s="4" t="str">
        <f>IFERROR(VLOOKUP(CONCATENATE(E6,F6),[13]Ratings!$H$3:$I$27,2,FALSE),)</f>
        <v>Orange</v>
      </c>
    </row>
    <row r="7" spans="2:12" x14ac:dyDescent="0.35">
      <c r="B7" s="92" t="s">
        <v>457</v>
      </c>
      <c r="C7" s="90" t="s">
        <v>601</v>
      </c>
      <c r="D7" s="89"/>
      <c r="E7" s="89"/>
      <c r="F7" s="89"/>
      <c r="G7" s="89"/>
      <c r="H7" s="89"/>
      <c r="I7" s="88"/>
      <c r="L7" s="4">
        <f>IFERROR(VLOOKUP(CONCATENATE(E7,F7),[13]Ratings!$H$3:$I$27,2,FALSE),)</f>
        <v>0</v>
      </c>
    </row>
    <row r="8" spans="2:12" ht="78" x14ac:dyDescent="0.35">
      <c r="B8" s="12" t="str">
        <f>$B$7&amp;"."&amp;[13]Ratings!B20</f>
        <v>3.2.1</v>
      </c>
      <c r="C8" s="13" t="s">
        <v>600</v>
      </c>
      <c r="D8" s="14" t="s">
        <v>599</v>
      </c>
      <c r="E8" s="12" t="s">
        <v>4</v>
      </c>
      <c r="F8" s="12" t="s">
        <v>13</v>
      </c>
      <c r="G8" s="14" t="s">
        <v>598</v>
      </c>
      <c r="H8" s="14" t="s">
        <v>596</v>
      </c>
      <c r="I8" s="14" t="s">
        <v>569</v>
      </c>
      <c r="L8" s="4" t="str">
        <f>IFERROR(VLOOKUP(CONCATENATE(E8,F8),[13]Ratings!$H$3:$I$27,2,FALSE),)</f>
        <v>Yellow</v>
      </c>
    </row>
    <row r="9" spans="2:12" x14ac:dyDescent="0.35">
      <c r="B9" s="92" t="s">
        <v>456</v>
      </c>
      <c r="C9" s="90" t="s">
        <v>597</v>
      </c>
      <c r="D9" s="89"/>
      <c r="E9" s="89"/>
      <c r="F9" s="89"/>
      <c r="G9" s="89"/>
      <c r="H9" s="89"/>
      <c r="I9" s="88"/>
      <c r="L9" s="4">
        <f>IFERROR(VLOOKUP(CONCATENATE(E9,F9),[13]Ratings!$H$3:$I$27,2,FALSE),)</f>
        <v>0</v>
      </c>
    </row>
    <row r="10" spans="2:12" ht="89.25" customHeight="1" x14ac:dyDescent="0.35">
      <c r="B10" s="12" t="str">
        <f>$B$9&amp;"."&amp;[13]Ratings!B21</f>
        <v>3.3.2</v>
      </c>
      <c r="C10" s="13" t="s">
        <v>322</v>
      </c>
      <c r="D10" s="14" t="s">
        <v>323</v>
      </c>
      <c r="E10" s="12" t="s">
        <v>4</v>
      </c>
      <c r="F10" s="12" t="s">
        <v>13</v>
      </c>
      <c r="G10" s="14" t="s">
        <v>324</v>
      </c>
      <c r="H10" s="14" t="s">
        <v>596</v>
      </c>
      <c r="I10" s="14" t="s">
        <v>569</v>
      </c>
      <c r="L10" s="4" t="str">
        <f>IFERROR(VLOOKUP(CONCATENATE(E10,F10),[13]Ratings!$H$3:$I$27,2,FALSE),)</f>
        <v>Yellow</v>
      </c>
    </row>
    <row r="11" spans="2:12" ht="75.75" customHeight="1" x14ac:dyDescent="0.35">
      <c r="B11" s="12" t="str">
        <f>$B$9&amp;"."&amp;[13]Ratings!B22</f>
        <v>3.3.3</v>
      </c>
      <c r="C11" s="93" t="s">
        <v>325</v>
      </c>
      <c r="D11" s="93" t="s">
        <v>326</v>
      </c>
      <c r="E11" s="12" t="s">
        <v>6</v>
      </c>
      <c r="F11" s="12" t="s">
        <v>13</v>
      </c>
      <c r="G11" s="93" t="s">
        <v>327</v>
      </c>
      <c r="H11" s="14" t="s">
        <v>596</v>
      </c>
      <c r="I11" s="14" t="s">
        <v>569</v>
      </c>
    </row>
    <row r="12" spans="2:12" ht="25.5" customHeight="1" x14ac:dyDescent="0.35">
      <c r="B12" s="92" t="s">
        <v>455</v>
      </c>
      <c r="C12" s="90" t="s">
        <v>595</v>
      </c>
      <c r="D12" s="89"/>
      <c r="E12" s="89"/>
      <c r="F12" s="89"/>
      <c r="G12" s="89"/>
      <c r="H12" s="89"/>
      <c r="I12" s="88"/>
      <c r="L12" s="4">
        <f>IFERROR(VLOOKUP(CONCATENATE(E12,F12),[13]Ratings!$H$3:$I$27,2,FALSE),)</f>
        <v>0</v>
      </c>
    </row>
    <row r="13" spans="2:12" ht="78" customHeight="1" x14ac:dyDescent="0.35">
      <c r="B13" s="12" t="str">
        <f>$B$12&amp;"."&amp;[13]Ratings!B20</f>
        <v>3.4.1</v>
      </c>
      <c r="C13" s="13" t="s">
        <v>594</v>
      </c>
      <c r="D13" s="14" t="s">
        <v>328</v>
      </c>
      <c r="E13" s="12" t="s">
        <v>6</v>
      </c>
      <c r="F13" s="12" t="s">
        <v>12</v>
      </c>
      <c r="G13" s="14" t="s">
        <v>593</v>
      </c>
      <c r="H13" s="14" t="s">
        <v>584</v>
      </c>
      <c r="I13" s="14" t="s">
        <v>569</v>
      </c>
      <c r="L13" s="4" t="str">
        <f>IFERROR(VLOOKUP(CONCATENATE(E13,F13),[13]Ratings!$H$3:$I$27,2,FALSE),)</f>
        <v>Yellow</v>
      </c>
    </row>
    <row r="14" spans="2:12" ht="125.25" customHeight="1" x14ac:dyDescent="0.35">
      <c r="B14" s="12" t="str">
        <f>$B$12&amp;"."&amp;[13]Ratings!B21</f>
        <v>3.4.2</v>
      </c>
      <c r="C14" s="13" t="s">
        <v>592</v>
      </c>
      <c r="D14" s="14" t="s">
        <v>591</v>
      </c>
      <c r="E14" s="12" t="s">
        <v>4</v>
      </c>
      <c r="F14" s="12" t="s">
        <v>13</v>
      </c>
      <c r="G14" s="14" t="s">
        <v>590</v>
      </c>
      <c r="H14" s="14" t="s">
        <v>584</v>
      </c>
      <c r="I14" s="14" t="s">
        <v>589</v>
      </c>
      <c r="L14" s="4" t="str">
        <f>IFERROR(VLOOKUP(CONCATENATE(E14,F14),[13]Ratings!$H$3:$I$27,2,FALSE),)</f>
        <v>Yellow</v>
      </c>
    </row>
    <row r="15" spans="2:12" x14ac:dyDescent="0.35">
      <c r="B15" s="12" t="str">
        <f>$B$12&amp;"."&amp;[13]Ratings!B22</f>
        <v>3.4.3</v>
      </c>
      <c r="C15" s="13"/>
      <c r="D15" s="14"/>
      <c r="E15" s="12"/>
      <c r="F15" s="12"/>
      <c r="G15" s="14"/>
      <c r="H15" s="14"/>
      <c r="I15" s="14"/>
      <c r="L15" s="4">
        <f>IFERROR(VLOOKUP(CONCATENATE(E15,F15),[13]Ratings!$H$3:$I$27,2,FALSE),)</f>
        <v>0</v>
      </c>
    </row>
    <row r="16" spans="2:12" x14ac:dyDescent="0.35">
      <c r="B16" s="92" t="s">
        <v>588</v>
      </c>
      <c r="C16" s="90" t="s">
        <v>613</v>
      </c>
      <c r="D16" s="89"/>
      <c r="E16" s="89"/>
      <c r="F16" s="89"/>
      <c r="G16" s="89"/>
      <c r="H16" s="89"/>
      <c r="I16" s="88"/>
      <c r="L16" s="4">
        <f>IFERROR(VLOOKUP(CONCATENATE(E16,F16),[13]Ratings!$H$3:$I$27,2,FALSE),)</f>
        <v>0</v>
      </c>
    </row>
    <row r="17" spans="2:12" ht="78" x14ac:dyDescent="0.35">
      <c r="B17" s="12" t="str">
        <f>$B$16&amp;"."&amp;[13]Ratings!B20</f>
        <v>3.5.1</v>
      </c>
      <c r="C17" s="13" t="s">
        <v>587</v>
      </c>
      <c r="D17" s="14" t="s">
        <v>586</v>
      </c>
      <c r="E17" s="12" t="s">
        <v>3</v>
      </c>
      <c r="F17" s="12" t="s">
        <v>14</v>
      </c>
      <c r="G17" s="14" t="s">
        <v>585</v>
      </c>
      <c r="H17" s="14" t="s">
        <v>584</v>
      </c>
      <c r="I17" s="14" t="s">
        <v>569</v>
      </c>
      <c r="L17" s="4" t="str">
        <f>IFERROR(VLOOKUP(CONCATENATE(E17,F17),[13]Ratings!$H$3:$I$27,2,FALSE),)</f>
        <v>Yellow</v>
      </c>
    </row>
    <row r="18" spans="2:12" x14ac:dyDescent="0.35">
      <c r="B18" s="11">
        <v>4</v>
      </c>
      <c r="C18" s="34" t="s">
        <v>583</v>
      </c>
      <c r="D18" s="35"/>
      <c r="E18" s="35"/>
      <c r="F18" s="35"/>
      <c r="G18" s="35"/>
      <c r="H18" s="35"/>
      <c r="I18" s="36"/>
      <c r="L18" s="4">
        <f>IFERROR(VLOOKUP(CONCATENATE(E18,F18),[13]Ratings!$H$3:$I$27,2,FALSE),)</f>
        <v>0</v>
      </c>
    </row>
    <row r="19" spans="2:12" x14ac:dyDescent="0.35">
      <c r="B19" s="91" t="s">
        <v>449</v>
      </c>
      <c r="C19" s="90" t="s">
        <v>582</v>
      </c>
      <c r="D19" s="89"/>
      <c r="E19" s="89"/>
      <c r="F19" s="89"/>
      <c r="G19" s="89"/>
      <c r="H19" s="89"/>
      <c r="I19" s="88"/>
      <c r="L19" s="4">
        <f>IFERROR(VLOOKUP(CONCATENATE(E19,F19),[13]Ratings!$H$3:$I$27,2,FALSE),)</f>
        <v>0</v>
      </c>
    </row>
    <row r="20" spans="2:12" ht="125.25" customHeight="1" x14ac:dyDescent="0.35">
      <c r="B20" s="12" t="str">
        <f>$B$19&amp;"."&amp;[14]Ratings!B20</f>
        <v>4.1.1</v>
      </c>
      <c r="C20" s="13" t="s">
        <v>581</v>
      </c>
      <c r="D20" s="14" t="s">
        <v>580</v>
      </c>
      <c r="E20" s="12" t="s">
        <v>3</v>
      </c>
      <c r="F20" s="12" t="s">
        <v>13</v>
      </c>
      <c r="G20" s="14" t="s">
        <v>579</v>
      </c>
      <c r="H20" s="14" t="s">
        <v>575</v>
      </c>
      <c r="I20" s="14" t="s">
        <v>574</v>
      </c>
      <c r="L20" s="4" t="str">
        <f>IFERROR(VLOOKUP(CONCATENATE(E20,F20),[14]Ratings!$H$3:$I$27,2,FALSE),)</f>
        <v>Green</v>
      </c>
    </row>
    <row r="21" spans="2:12" ht="65" x14ac:dyDescent="0.35">
      <c r="B21" s="12" t="str">
        <f>$B$19&amp;"."&amp;[14]Ratings!B21</f>
        <v>4.1.2</v>
      </c>
      <c r="C21" s="13" t="s">
        <v>578</v>
      </c>
      <c r="D21" s="13" t="s">
        <v>577</v>
      </c>
      <c r="E21" s="12" t="s">
        <v>4</v>
      </c>
      <c r="F21" s="12" t="s">
        <v>13</v>
      </c>
      <c r="G21" s="14" t="s">
        <v>576</v>
      </c>
      <c r="H21" s="14" t="s">
        <v>575</v>
      </c>
      <c r="I21" s="14" t="s">
        <v>574</v>
      </c>
      <c r="L21" s="4" t="str">
        <f>IFERROR(VLOOKUP(CONCATENATE(E21,F21),[14]Ratings!$H$3:$I$27,2,FALSE),)</f>
        <v>Yellow</v>
      </c>
    </row>
    <row r="22" spans="2:12" x14ac:dyDescent="0.35">
      <c r="B22" s="91" t="s">
        <v>451</v>
      </c>
      <c r="C22" s="90" t="s">
        <v>614</v>
      </c>
      <c r="D22" s="89"/>
      <c r="E22" s="89"/>
      <c r="F22" s="89"/>
      <c r="G22" s="89"/>
      <c r="H22" s="89"/>
      <c r="I22" s="88"/>
      <c r="L22" s="4">
        <f>IFERROR(VLOOKUP(CONCATENATE(E22,F22),[13]Ratings!$H$3:$I$27,2,FALSE),)</f>
        <v>0</v>
      </c>
    </row>
    <row r="23" spans="2:12" ht="78" x14ac:dyDescent="0.35">
      <c r="B23" s="12" t="str">
        <f>$B$22&amp;"."&amp;[13]Ratings!B20</f>
        <v>4.2.1</v>
      </c>
      <c r="C23" s="13" t="s">
        <v>573</v>
      </c>
      <c r="D23" s="14" t="s">
        <v>572</v>
      </c>
      <c r="E23" s="12" t="s">
        <v>4</v>
      </c>
      <c r="F23" s="12" t="s">
        <v>14</v>
      </c>
      <c r="G23" s="14" t="s">
        <v>571</v>
      </c>
      <c r="H23" s="14" t="s">
        <v>570</v>
      </c>
      <c r="I23" s="14" t="s">
        <v>569</v>
      </c>
      <c r="L23" s="4" t="str">
        <f>IFERROR(VLOOKUP(CONCATENATE(E23,F23),[13]Ratings!$H$3:$I$27,2,FALSE),)</f>
        <v>Orange</v>
      </c>
    </row>
  </sheetData>
  <mergeCells count="9">
    <mergeCell ref="C22:I22"/>
    <mergeCell ref="C16:I16"/>
    <mergeCell ref="C3:I3"/>
    <mergeCell ref="C18:I18"/>
    <mergeCell ref="C5:I5"/>
    <mergeCell ref="C7:I7"/>
    <mergeCell ref="C9:I9"/>
    <mergeCell ref="C12:I12"/>
    <mergeCell ref="C19:I19"/>
  </mergeCells>
  <conditionalFormatting sqref="B12:B15 B1:B9 B17:B19 B22:B1048576">
    <cfRule type="expression" dxfId="15" priority="13">
      <formula>L1="Red"</formula>
    </cfRule>
    <cfRule type="expression" dxfId="14" priority="14">
      <formula>L1="Orange"</formula>
    </cfRule>
    <cfRule type="expression" dxfId="13" priority="15">
      <formula>L1="Yellow"</formula>
    </cfRule>
    <cfRule type="expression" dxfId="12" priority="16">
      <formula>L1="Green"</formula>
    </cfRule>
  </conditionalFormatting>
  <conditionalFormatting sqref="B16">
    <cfRule type="expression" dxfId="11" priority="9">
      <formula>L16="Red"</formula>
    </cfRule>
    <cfRule type="expression" dxfId="10" priority="10">
      <formula>L16="Orange"</formula>
    </cfRule>
    <cfRule type="expression" dxfId="9" priority="11">
      <formula>L16="Yellow"</formula>
    </cfRule>
    <cfRule type="expression" dxfId="8" priority="12">
      <formula>L16="Green"</formula>
    </cfRule>
  </conditionalFormatting>
  <conditionalFormatting sqref="B10:B11">
    <cfRule type="expression" dxfId="7" priority="5">
      <formula>L10="Red"</formula>
    </cfRule>
    <cfRule type="expression" dxfId="6" priority="6">
      <formula>L10="Orange"</formula>
    </cfRule>
    <cfRule type="expression" dxfId="5" priority="7">
      <formula>L10="Yellow"</formula>
    </cfRule>
    <cfRule type="expression" dxfId="4" priority="8">
      <formula>L10="Green"</formula>
    </cfRule>
  </conditionalFormatting>
  <conditionalFormatting sqref="B20:B21">
    <cfRule type="expression" dxfId="3" priority="1">
      <formula>L20="Red"</formula>
    </cfRule>
    <cfRule type="expression" dxfId="2" priority="2">
      <formula>L20="Orange"</formula>
    </cfRule>
    <cfRule type="expression" dxfId="1" priority="3">
      <formula>L20="Yellow"</formula>
    </cfRule>
    <cfRule type="expression" dxfId="0" priority="4">
      <formula>L20="Green"</formula>
    </cfRule>
  </conditionalFormatting>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CABE3-D822-4530-8A6C-FB41BADEA1AD}">
  <dimension ref="B1:K22"/>
  <sheetViews>
    <sheetView showGridLines="0" zoomScale="90" zoomScaleNormal="90" workbookViewId="0">
      <selection activeCell="E21" sqref="E21"/>
    </sheetView>
  </sheetViews>
  <sheetFormatPr defaultColWidth="33.453125" defaultRowHeight="14.5" x14ac:dyDescent="0.35"/>
  <cols>
    <col min="1" max="1" width="2" customWidth="1"/>
    <col min="2" max="2" width="5.1796875" bestFit="1" customWidth="1"/>
    <col min="3" max="3" width="34.1796875" customWidth="1"/>
    <col min="4" max="4" width="66.453125" style="27" customWidth="1"/>
    <col min="5" max="5" width="20.6328125" customWidth="1"/>
    <col min="6" max="6" width="19.453125" customWidth="1"/>
    <col min="7" max="7" width="21.6328125" style="21" customWidth="1"/>
    <col min="8" max="8" width="71.1796875" style="27" customWidth="1"/>
    <col min="11" max="11" width="4.81640625" customWidth="1"/>
  </cols>
  <sheetData>
    <row r="1" spans="2:11" ht="187.5" customHeight="1" x14ac:dyDescent="0.35"/>
    <row r="2" spans="2:11" x14ac:dyDescent="0.35">
      <c r="B2" s="8" t="s">
        <v>17</v>
      </c>
      <c r="C2" s="9" t="s">
        <v>18</v>
      </c>
      <c r="D2" s="23" t="s">
        <v>26</v>
      </c>
      <c r="E2" s="8" t="s">
        <v>2</v>
      </c>
      <c r="F2" s="8" t="s">
        <v>9</v>
      </c>
      <c r="G2" s="8" t="s">
        <v>27</v>
      </c>
      <c r="H2" s="28" t="s">
        <v>19</v>
      </c>
      <c r="K2" s="3"/>
    </row>
    <row r="3" spans="2:11" x14ac:dyDescent="0.35">
      <c r="B3" s="11">
        <v>1</v>
      </c>
      <c r="C3" s="34" t="s">
        <v>22</v>
      </c>
      <c r="D3" s="35"/>
      <c r="E3" s="35"/>
      <c r="F3" s="35"/>
      <c r="G3" s="35"/>
      <c r="H3" s="36"/>
      <c r="K3" s="4"/>
    </row>
    <row r="4" spans="2:11" ht="170" customHeight="1" x14ac:dyDescent="0.35">
      <c r="B4" s="12" t="str">
        <f>$B$3&amp;"."&amp;[11]Ratings!B25</f>
        <v>1.1</v>
      </c>
      <c r="C4" s="13" t="s">
        <v>557</v>
      </c>
      <c r="D4" s="22" t="s">
        <v>329</v>
      </c>
      <c r="E4" s="12" t="s">
        <v>8</v>
      </c>
      <c r="F4" s="12" t="s">
        <v>14</v>
      </c>
      <c r="G4" s="20" t="s">
        <v>28</v>
      </c>
      <c r="H4" s="22" t="s">
        <v>556</v>
      </c>
      <c r="K4" s="4" t="str">
        <f>IFERROR(VLOOKUP(CONCATENATE(E4,F4),[11]Ratings!$H$3:$I$27,2,FALSE),)</f>
        <v>Red</v>
      </c>
    </row>
    <row r="5" spans="2:11" ht="145" customHeight="1" x14ac:dyDescent="0.35">
      <c r="B5" s="12" t="str">
        <f>$B$3&amp;"."&amp;[11]Ratings!B26</f>
        <v>1.2</v>
      </c>
      <c r="C5" s="13" t="s">
        <v>430</v>
      </c>
      <c r="D5" s="22" t="s">
        <v>330</v>
      </c>
      <c r="E5" s="12" t="s">
        <v>7</v>
      </c>
      <c r="F5" s="12" t="s">
        <v>13</v>
      </c>
      <c r="G5" s="20" t="s">
        <v>28</v>
      </c>
      <c r="H5" s="22" t="s">
        <v>555</v>
      </c>
      <c r="K5" s="4" t="str">
        <f>IFERROR(VLOOKUP(CONCATENATE(E5,F5),[11]Ratings!$H$3:$I$27,2,FALSE),)</f>
        <v>Orange</v>
      </c>
    </row>
    <row r="6" spans="2:11" ht="151" customHeight="1" x14ac:dyDescent="0.35">
      <c r="B6" s="86" t="str">
        <f>$B$3&amp;"."&amp;[11]Ratings!B27</f>
        <v>1.3</v>
      </c>
      <c r="C6" s="13" t="s">
        <v>431</v>
      </c>
      <c r="D6" s="22" t="s">
        <v>554</v>
      </c>
      <c r="E6" s="12" t="s">
        <v>8</v>
      </c>
      <c r="F6" s="12" t="s">
        <v>13</v>
      </c>
      <c r="G6" s="20" t="s">
        <v>28</v>
      </c>
      <c r="H6" s="22" t="s">
        <v>553</v>
      </c>
      <c r="K6" s="4" t="str">
        <f>IFERROR(VLOOKUP(CONCATENATE(E6,F6),[11]Ratings!$H$3:$I$27,2,FALSE),)</f>
        <v>Orange</v>
      </c>
    </row>
    <row r="7" spans="2:11" ht="123.75" customHeight="1" x14ac:dyDescent="0.35">
      <c r="B7" s="12" t="str">
        <f>$B$3&amp;"."&amp;[11]Ratings!B28</f>
        <v>1.4</v>
      </c>
      <c r="C7" s="13" t="s">
        <v>331</v>
      </c>
      <c r="D7" s="22" t="s">
        <v>552</v>
      </c>
      <c r="E7" s="12" t="s">
        <v>4</v>
      </c>
      <c r="F7" s="12" t="s">
        <v>13</v>
      </c>
      <c r="G7" s="20" t="s">
        <v>28</v>
      </c>
      <c r="H7" s="22" t="s">
        <v>551</v>
      </c>
      <c r="K7" s="4" t="str">
        <f>IFERROR(VLOOKUP(CONCATENATE(E7,F7),[11]Ratings!$H$3:$I$27,2,FALSE),)</f>
        <v>Yellow</v>
      </c>
    </row>
    <row r="8" spans="2:11" ht="120" customHeight="1" x14ac:dyDescent="0.35">
      <c r="B8" s="12" t="str">
        <f>$B$3&amp;"."&amp;[11]Ratings!B29</f>
        <v>1.5</v>
      </c>
      <c r="C8" s="13" t="s">
        <v>332</v>
      </c>
      <c r="D8" s="22" t="s">
        <v>550</v>
      </c>
      <c r="E8" s="12" t="s">
        <v>7</v>
      </c>
      <c r="F8" s="12" t="s">
        <v>13</v>
      </c>
      <c r="G8" s="20" t="s">
        <v>28</v>
      </c>
      <c r="H8" s="22" t="s">
        <v>549</v>
      </c>
      <c r="K8" s="4" t="str">
        <f>IFERROR(VLOOKUP(CONCATENATE(E8,F8),[11]Ratings!$H$3:$I$27,2,FALSE),)</f>
        <v>Orange</v>
      </c>
    </row>
    <row r="9" spans="2:11" x14ac:dyDescent="0.35">
      <c r="B9" s="11">
        <v>2</v>
      </c>
      <c r="C9" s="34" t="s">
        <v>23</v>
      </c>
      <c r="D9" s="35"/>
      <c r="E9" s="35"/>
      <c r="F9" s="35"/>
      <c r="G9" s="35"/>
      <c r="H9" s="36"/>
      <c r="K9" s="4">
        <f>IFERROR(VLOOKUP(CONCATENATE(E9,F9),[11]Ratings!$H$3:$I$27,2,FALSE),)</f>
        <v>0</v>
      </c>
    </row>
    <row r="10" spans="2:11" ht="165" customHeight="1" x14ac:dyDescent="0.35">
      <c r="B10" s="12" t="str">
        <f>$B$9&amp;"."&amp;[11]Ratings!B25</f>
        <v>2.1</v>
      </c>
      <c r="C10" s="13" t="s">
        <v>333</v>
      </c>
      <c r="D10" s="22" t="s">
        <v>334</v>
      </c>
      <c r="E10" s="12" t="s">
        <v>6</v>
      </c>
      <c r="F10" s="12" t="s">
        <v>13</v>
      </c>
      <c r="G10" s="20" t="s">
        <v>28</v>
      </c>
      <c r="H10" s="22" t="s">
        <v>548</v>
      </c>
      <c r="K10" s="4" t="str">
        <f>IFERROR(VLOOKUP(CONCATENATE(E10,F10),[11]Ratings!$H$3:$I$27,2,FALSE),)</f>
        <v>Orange</v>
      </c>
    </row>
    <row r="11" spans="2:11" ht="169" x14ac:dyDescent="0.35">
      <c r="B11" s="12" t="str">
        <f>$B$9&amp;"."&amp;[11]Ratings!B26</f>
        <v>2.2</v>
      </c>
      <c r="C11" s="13" t="s">
        <v>335</v>
      </c>
      <c r="D11" s="22" t="s">
        <v>547</v>
      </c>
      <c r="E11" s="12" t="s">
        <v>4</v>
      </c>
      <c r="F11" s="12" t="s">
        <v>13</v>
      </c>
      <c r="G11" s="20" t="s">
        <v>28</v>
      </c>
      <c r="H11" s="22" t="s">
        <v>546</v>
      </c>
      <c r="K11" s="4" t="str">
        <f>IFERROR(VLOOKUP(CONCATENATE(E11,F11),[11]Ratings!$H$3:$I$27,2,FALSE),)</f>
        <v>Yellow</v>
      </c>
    </row>
    <row r="12" spans="2:11" ht="202" customHeight="1" x14ac:dyDescent="0.35">
      <c r="B12" s="85" t="str">
        <f>$B$9&amp;"."&amp;[11]Ratings!B27</f>
        <v>2.3</v>
      </c>
      <c r="C12" s="31" t="s">
        <v>545</v>
      </c>
      <c r="D12" s="84" t="s">
        <v>544</v>
      </c>
      <c r="E12" s="29" t="s">
        <v>6</v>
      </c>
      <c r="F12" s="29" t="s">
        <v>13</v>
      </c>
      <c r="G12" s="30" t="s">
        <v>28</v>
      </c>
      <c r="H12" s="83" t="s">
        <v>543</v>
      </c>
      <c r="K12" s="4"/>
    </row>
    <row r="13" spans="2:11" x14ac:dyDescent="0.35">
      <c r="B13" s="11">
        <v>3</v>
      </c>
      <c r="C13" s="34" t="s">
        <v>24</v>
      </c>
      <c r="D13" s="35"/>
      <c r="E13" s="35"/>
      <c r="F13" s="35"/>
      <c r="G13" s="35"/>
      <c r="H13" s="36"/>
      <c r="K13" s="4">
        <f>IFERROR(VLOOKUP(CONCATENATE(E13,F13),[11]Ratings!$H$3:$I$27,2,FALSE),)</f>
        <v>0</v>
      </c>
    </row>
    <row r="14" spans="2:11" ht="66.75" customHeight="1" x14ac:dyDescent="0.35">
      <c r="B14" s="12" t="str">
        <f>$B$13&amp;"."&amp;[11]Ratings!B25</f>
        <v>3.1</v>
      </c>
      <c r="C14" s="13" t="s">
        <v>48</v>
      </c>
      <c r="D14" s="22" t="s">
        <v>336</v>
      </c>
      <c r="E14" s="12" t="s">
        <v>3</v>
      </c>
      <c r="F14" s="12" t="s">
        <v>13</v>
      </c>
      <c r="G14" s="20" t="s">
        <v>28</v>
      </c>
      <c r="H14" s="22" t="s">
        <v>542</v>
      </c>
      <c r="K14" s="4" t="str">
        <f>IFERROR(VLOOKUP(CONCATENATE(E14,F14),[11]Ratings!$H$3:$I$27,2,FALSE),)</f>
        <v>Green</v>
      </c>
    </row>
    <row r="15" spans="2:11" ht="78" x14ac:dyDescent="0.35">
      <c r="B15" s="12" t="str">
        <f>$B$13&amp;"."&amp;[11]Ratings!B26</f>
        <v>3.2</v>
      </c>
      <c r="C15" s="13" t="s">
        <v>63</v>
      </c>
      <c r="D15" s="22" t="s">
        <v>432</v>
      </c>
      <c r="E15" s="12" t="s">
        <v>3</v>
      </c>
      <c r="F15" s="12" t="s">
        <v>13</v>
      </c>
      <c r="G15" s="20" t="s">
        <v>28</v>
      </c>
      <c r="H15" s="22" t="s">
        <v>541</v>
      </c>
      <c r="K15" s="4" t="str">
        <f>IFERROR(VLOOKUP(CONCATENATE(E15,F15),[11]Ratings!$H$3:$I$27,2,FALSE),)</f>
        <v>Green</v>
      </c>
    </row>
    <row r="16" spans="2:11" ht="92.25" customHeight="1" x14ac:dyDescent="0.35">
      <c r="B16" s="12" t="str">
        <f>$B$13&amp;"."&amp;[11]Ratings!B28</f>
        <v>3.4</v>
      </c>
      <c r="C16" s="13" t="s">
        <v>64</v>
      </c>
      <c r="D16" s="22" t="s">
        <v>433</v>
      </c>
      <c r="E16" s="12" t="s">
        <v>4</v>
      </c>
      <c r="F16" s="12" t="s">
        <v>15</v>
      </c>
      <c r="G16" s="20" t="s">
        <v>28</v>
      </c>
      <c r="H16" s="22" t="s">
        <v>540</v>
      </c>
      <c r="K16" s="4" t="str">
        <f>IFERROR(VLOOKUP(CONCATENATE(E16,F16),[11]Ratings!$H$3:$I$27,2,FALSE),)</f>
        <v>Orange</v>
      </c>
    </row>
    <row r="17" spans="2:11" ht="99" customHeight="1" x14ac:dyDescent="0.35">
      <c r="B17" s="12" t="str">
        <f>$B$13&amp;"."&amp;[11]Ratings!B29</f>
        <v>3.5</v>
      </c>
      <c r="C17" s="13" t="s">
        <v>337</v>
      </c>
      <c r="D17" s="22" t="s">
        <v>338</v>
      </c>
      <c r="E17" s="12" t="s">
        <v>3</v>
      </c>
      <c r="F17" s="12" t="s">
        <v>14</v>
      </c>
      <c r="G17" s="20" t="s">
        <v>28</v>
      </c>
      <c r="H17" s="22" t="s">
        <v>339</v>
      </c>
      <c r="K17" s="4" t="str">
        <f>IFERROR(VLOOKUP(CONCATENATE(E17,F17),[11]Ratings!$H$3:$I$27,2,FALSE),)</f>
        <v>Yellow</v>
      </c>
    </row>
    <row r="18" spans="2:11" x14ac:dyDescent="0.35">
      <c r="B18" s="11">
        <v>4</v>
      </c>
      <c r="C18" s="34" t="s">
        <v>25</v>
      </c>
      <c r="D18" s="35"/>
      <c r="E18" s="35"/>
      <c r="F18" s="35"/>
      <c r="G18" s="35"/>
      <c r="H18" s="36"/>
      <c r="K18" s="4">
        <f>IFERROR(VLOOKUP(CONCATENATE(E18,F18),[11]Ratings!$H$3:$I$27,2,FALSE),)</f>
        <v>0</v>
      </c>
    </row>
    <row r="19" spans="2:11" ht="58" customHeight="1" x14ac:dyDescent="0.35">
      <c r="B19" s="12" t="str">
        <f>$B$18&amp;"."&amp;[11]Ratings!B25</f>
        <v>4.1</v>
      </c>
      <c r="C19" s="13" t="s">
        <v>434</v>
      </c>
      <c r="D19" s="22" t="s">
        <v>539</v>
      </c>
      <c r="E19" s="12" t="s">
        <v>6</v>
      </c>
      <c r="F19" s="12" t="s">
        <v>13</v>
      </c>
      <c r="G19" s="20" t="s">
        <v>28</v>
      </c>
      <c r="H19" s="22" t="s">
        <v>538</v>
      </c>
      <c r="K19" s="4" t="str">
        <f>IFERROR(VLOOKUP(CONCATENATE(E19,F19),[11]Ratings!$H$3:$I$27,2,FALSE),)</f>
        <v>Orange</v>
      </c>
    </row>
    <row r="20" spans="2:11" ht="78" x14ac:dyDescent="0.35">
      <c r="B20" s="12" t="str">
        <f>$B$18&amp;"."&amp;[11]Ratings!B26</f>
        <v>4.2</v>
      </c>
      <c r="C20" s="13" t="s">
        <v>65</v>
      </c>
      <c r="D20" s="22" t="s">
        <v>340</v>
      </c>
      <c r="E20" s="12" t="s">
        <v>7</v>
      </c>
      <c r="F20" s="12" t="s">
        <v>12</v>
      </c>
      <c r="G20" s="20" t="s">
        <v>28</v>
      </c>
      <c r="H20" s="22" t="s">
        <v>537</v>
      </c>
      <c r="K20" s="4" t="str">
        <f>IFERROR(VLOOKUP(CONCATENATE(E20,F20),[11]Ratings!$H$3:$I$27,2,FALSE),)</f>
        <v>Yellow</v>
      </c>
    </row>
    <row r="21" spans="2:11" ht="78" x14ac:dyDescent="0.35">
      <c r="B21" s="12" t="str">
        <f>$B$18&amp;"."&amp;[11]Ratings!B27</f>
        <v>4.3</v>
      </c>
      <c r="C21" s="13" t="s">
        <v>536</v>
      </c>
      <c r="D21" s="22" t="s">
        <v>535</v>
      </c>
      <c r="E21" s="12" t="s">
        <v>4</v>
      </c>
      <c r="F21" s="12" t="s">
        <v>13</v>
      </c>
      <c r="G21" s="20" t="s">
        <v>28</v>
      </c>
      <c r="H21" s="22" t="s">
        <v>534</v>
      </c>
      <c r="K21" s="4" t="str">
        <f>IFERROR(VLOOKUP(CONCATENATE(E21,F21),[11]Ratings!$H$3:$I$27,2,FALSE),)</f>
        <v>Yellow</v>
      </c>
    </row>
    <row r="22" spans="2:11" ht="65" x14ac:dyDescent="0.35">
      <c r="B22" s="12" t="str">
        <f>$B$18&amp;"."&amp;[11]Ratings!B28</f>
        <v>4.4</v>
      </c>
      <c r="C22" s="13" t="s">
        <v>66</v>
      </c>
      <c r="D22" s="22" t="s">
        <v>67</v>
      </c>
      <c r="E22" s="12" t="s">
        <v>4</v>
      </c>
      <c r="F22" s="12" t="s">
        <v>13</v>
      </c>
      <c r="G22" s="20" t="s">
        <v>28</v>
      </c>
      <c r="H22" s="22" t="s">
        <v>533</v>
      </c>
      <c r="K22" s="4" t="str">
        <f>IFERROR(VLOOKUP(CONCATENATE(E22,F22),[11]Ratings!$H$3:$I$27,2,FALSE),)</f>
        <v>Yellow</v>
      </c>
    </row>
  </sheetData>
  <mergeCells count="4">
    <mergeCell ref="C3:H3"/>
    <mergeCell ref="C9:H9"/>
    <mergeCell ref="C13:H13"/>
    <mergeCell ref="C18:H18"/>
  </mergeCells>
  <conditionalFormatting sqref="B2:B7 B9:B1048576">
    <cfRule type="expression" dxfId="44" priority="9">
      <formula>K2="Red"</formula>
    </cfRule>
    <cfRule type="expression" dxfId="43" priority="10">
      <formula>K2="Orange"</formula>
    </cfRule>
    <cfRule type="expression" dxfId="42" priority="11">
      <formula>K2="Yellow"</formula>
    </cfRule>
    <cfRule type="expression" dxfId="41" priority="12">
      <formula>K2="Green"</formula>
    </cfRule>
  </conditionalFormatting>
  <conditionalFormatting sqref="B1">
    <cfRule type="expression" dxfId="40" priority="5">
      <formula>K1="Red"</formula>
    </cfRule>
    <cfRule type="expression" dxfId="39" priority="6">
      <formula>K1="Orange"</formula>
    </cfRule>
    <cfRule type="expression" dxfId="38" priority="7">
      <formula>K1="Yellow"</formula>
    </cfRule>
    <cfRule type="expression" dxfId="37" priority="8">
      <formula>K1="Green"</formula>
    </cfRule>
  </conditionalFormatting>
  <conditionalFormatting sqref="B8">
    <cfRule type="expression" dxfId="36" priority="1">
      <formula>K8="Red"</formula>
    </cfRule>
    <cfRule type="expression" dxfId="35" priority="2">
      <formula>K8="Orange"</formula>
    </cfRule>
    <cfRule type="expression" dxfId="34" priority="3">
      <formula>K8="Yellow"</formula>
    </cfRule>
    <cfRule type="expression" dxfId="33" priority="4">
      <formula>K8="Green"</formula>
    </cfRule>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47"/>
  <sheetViews>
    <sheetView showGridLines="0" workbookViewId="0">
      <selection activeCell="B21" sqref="B21"/>
    </sheetView>
  </sheetViews>
  <sheetFormatPr defaultColWidth="8.7265625" defaultRowHeight="14.5" x14ac:dyDescent="0.35"/>
  <cols>
    <col min="1" max="1" width="3.453125" customWidth="1"/>
    <col min="2" max="2" width="19" customWidth="1"/>
    <col min="8" max="8" width="24.1796875" bestFit="1" customWidth="1"/>
  </cols>
  <sheetData>
    <row r="2" spans="2:9" x14ac:dyDescent="0.35">
      <c r="B2" s="1" t="s">
        <v>0</v>
      </c>
    </row>
    <row r="3" spans="2:9" x14ac:dyDescent="0.35">
      <c r="H3" t="str">
        <f>+$B$5&amp;B12</f>
        <v>UnlikelyNegligible</v>
      </c>
      <c r="I3" t="s">
        <v>1</v>
      </c>
    </row>
    <row r="4" spans="2:9" x14ac:dyDescent="0.35">
      <c r="B4" s="6" t="s">
        <v>2</v>
      </c>
      <c r="H4" t="str">
        <f>+$B$5&amp;B13</f>
        <v>UnlikelyMinor</v>
      </c>
      <c r="I4" t="s">
        <v>1</v>
      </c>
    </row>
    <row r="5" spans="2:9" x14ac:dyDescent="0.35">
      <c r="B5" s="5" t="s">
        <v>3</v>
      </c>
      <c r="H5" t="str">
        <f>+$B$5&amp;B14</f>
        <v>UnlikelyModerate</v>
      </c>
      <c r="I5" t="s">
        <v>1</v>
      </c>
    </row>
    <row r="6" spans="2:9" x14ac:dyDescent="0.35">
      <c r="B6" s="5" t="s">
        <v>4</v>
      </c>
      <c r="H6" t="str">
        <f>+$B$5&amp;B15</f>
        <v>UnlikelySevere</v>
      </c>
      <c r="I6" t="s">
        <v>5</v>
      </c>
    </row>
    <row r="7" spans="2:9" x14ac:dyDescent="0.35">
      <c r="B7" s="5" t="s">
        <v>6</v>
      </c>
      <c r="H7" t="str">
        <f>+$B$5&amp;B16</f>
        <v>UnlikelyCritical</v>
      </c>
      <c r="I7" t="s">
        <v>5</v>
      </c>
    </row>
    <row r="8" spans="2:9" x14ac:dyDescent="0.35">
      <c r="B8" s="5" t="s">
        <v>7</v>
      </c>
      <c r="H8" t="str">
        <f>+$B$6&amp;B12</f>
        <v>PossibleNegligible</v>
      </c>
      <c r="I8" t="s">
        <v>1</v>
      </c>
    </row>
    <row r="9" spans="2:9" x14ac:dyDescent="0.35">
      <c r="B9" s="7" t="s">
        <v>8</v>
      </c>
      <c r="H9" t="str">
        <f>+$B$6&amp;B13</f>
        <v>PossibleMinor</v>
      </c>
      <c r="I9" t="s">
        <v>1</v>
      </c>
    </row>
    <row r="10" spans="2:9" x14ac:dyDescent="0.35">
      <c r="H10" t="str">
        <f>+$B$6&amp;B14</f>
        <v>PossibleModerate</v>
      </c>
      <c r="I10" t="s">
        <v>5</v>
      </c>
    </row>
    <row r="11" spans="2:9" x14ac:dyDescent="0.35">
      <c r="B11" s="6" t="s">
        <v>9</v>
      </c>
      <c r="H11" t="str">
        <f>+$B$6&amp;B15</f>
        <v>PossibleSevere</v>
      </c>
      <c r="I11" s="2" t="s">
        <v>10</v>
      </c>
    </row>
    <row r="12" spans="2:9" x14ac:dyDescent="0.35">
      <c r="B12" s="5" t="s">
        <v>11</v>
      </c>
      <c r="H12" t="str">
        <f>+$B$6&amp;B16</f>
        <v>PossibleCritical</v>
      </c>
      <c r="I12" s="2" t="s">
        <v>10</v>
      </c>
    </row>
    <row r="13" spans="2:9" x14ac:dyDescent="0.35">
      <c r="B13" s="5" t="s">
        <v>12</v>
      </c>
      <c r="H13" t="str">
        <f>+$B$7&amp;B12</f>
        <v>LikelyNegligible</v>
      </c>
      <c r="I13" t="s">
        <v>1</v>
      </c>
    </row>
    <row r="14" spans="2:9" x14ac:dyDescent="0.35">
      <c r="B14" s="5" t="s">
        <v>13</v>
      </c>
      <c r="H14" t="str">
        <f>+$B$7&amp;B13</f>
        <v>LikelyMinor</v>
      </c>
      <c r="I14" t="s">
        <v>5</v>
      </c>
    </row>
    <row r="15" spans="2:9" x14ac:dyDescent="0.35">
      <c r="B15" s="5" t="s">
        <v>14</v>
      </c>
      <c r="H15" t="str">
        <f>+$B$7&amp;B14</f>
        <v>LikelyModerate</v>
      </c>
      <c r="I15" s="2" t="s">
        <v>10</v>
      </c>
    </row>
    <row r="16" spans="2:9" x14ac:dyDescent="0.35">
      <c r="B16" s="7" t="s">
        <v>15</v>
      </c>
      <c r="H16" t="str">
        <f>+$B$7&amp;B15</f>
        <v>LikelySevere</v>
      </c>
      <c r="I16" s="2" t="s">
        <v>10</v>
      </c>
    </row>
    <row r="17" spans="2:9" x14ac:dyDescent="0.35">
      <c r="H17" t="str">
        <f>+$B$7&amp;B16</f>
        <v>LikelyCritical</v>
      </c>
      <c r="I17" t="s">
        <v>16</v>
      </c>
    </row>
    <row r="18" spans="2:9" x14ac:dyDescent="0.35">
      <c r="B18" s="16" t="s">
        <v>27</v>
      </c>
      <c r="H18" t="str">
        <f>+$B$8&amp;B12</f>
        <v>Highly likelyNegligible</v>
      </c>
      <c r="I18" t="s">
        <v>5</v>
      </c>
    </row>
    <row r="19" spans="2:9" x14ac:dyDescent="0.35">
      <c r="B19" s="17" t="s">
        <v>28</v>
      </c>
      <c r="H19" t="str">
        <f>+$B$8&amp;B13</f>
        <v>Highly likelyMinor</v>
      </c>
      <c r="I19" t="s">
        <v>5</v>
      </c>
    </row>
    <row r="20" spans="2:9" x14ac:dyDescent="0.35">
      <c r="B20" s="18" t="s">
        <v>29</v>
      </c>
      <c r="H20" t="str">
        <f>+$B$8&amp;B14</f>
        <v>Highly likelyModerate</v>
      </c>
      <c r="I20" s="2" t="s">
        <v>10</v>
      </c>
    </row>
    <row r="21" spans="2:9" x14ac:dyDescent="0.35">
      <c r="B21" s="17" t="s">
        <v>30</v>
      </c>
      <c r="H21" t="str">
        <f>+$B$8&amp;B15</f>
        <v>Highly likelySevere</v>
      </c>
      <c r="I21" t="s">
        <v>16</v>
      </c>
    </row>
    <row r="22" spans="2:9" x14ac:dyDescent="0.35">
      <c r="B22" s="18" t="s">
        <v>31</v>
      </c>
      <c r="H22" t="str">
        <f>+$B$8&amp;B16</f>
        <v>Highly likelyCritical</v>
      </c>
      <c r="I22" t="s">
        <v>16</v>
      </c>
    </row>
    <row r="23" spans="2:9" x14ac:dyDescent="0.35">
      <c r="H23" t="str">
        <f>+$B$9&amp;B12</f>
        <v>Certain/ImminentNegligible</v>
      </c>
      <c r="I23" t="s">
        <v>5</v>
      </c>
    </row>
    <row r="24" spans="2:9" x14ac:dyDescent="0.35">
      <c r="H24" t="str">
        <f>+$B$9&amp;B13</f>
        <v>Certain/ImminentMinor</v>
      </c>
      <c r="I24" s="2" t="s">
        <v>10</v>
      </c>
    </row>
    <row r="25" spans="2:9" x14ac:dyDescent="0.35">
      <c r="B25">
        <v>1</v>
      </c>
      <c r="H25" t="str">
        <f>+$B$9&amp;B14</f>
        <v>Certain/ImminentModerate</v>
      </c>
      <c r="I25" s="2" t="s">
        <v>10</v>
      </c>
    </row>
    <row r="26" spans="2:9" x14ac:dyDescent="0.35">
      <c r="B26">
        <v>2</v>
      </c>
      <c r="H26" t="str">
        <f>+$B$9&amp;B15</f>
        <v>Certain/ImminentSevere</v>
      </c>
      <c r="I26" t="s">
        <v>16</v>
      </c>
    </row>
    <row r="27" spans="2:9" x14ac:dyDescent="0.35">
      <c r="B27">
        <v>3</v>
      </c>
      <c r="H27" t="str">
        <f>+$B$9&amp;B16</f>
        <v>Certain/ImminentCritical</v>
      </c>
      <c r="I27" t="s">
        <v>16</v>
      </c>
    </row>
    <row r="28" spans="2:9" x14ac:dyDescent="0.35">
      <c r="B28">
        <v>4</v>
      </c>
    </row>
    <row r="29" spans="2:9" x14ac:dyDescent="0.35">
      <c r="B29">
        <v>5</v>
      </c>
    </row>
    <row r="30" spans="2:9" x14ac:dyDescent="0.35">
      <c r="B30">
        <v>6</v>
      </c>
    </row>
    <row r="31" spans="2:9" x14ac:dyDescent="0.35">
      <c r="B31">
        <v>7</v>
      </c>
    </row>
    <row r="32" spans="2:9" x14ac:dyDescent="0.35">
      <c r="B32">
        <v>8</v>
      </c>
    </row>
    <row r="33" spans="2:2" x14ac:dyDescent="0.35">
      <c r="B33">
        <v>9</v>
      </c>
    </row>
    <row r="34" spans="2:2" x14ac:dyDescent="0.35">
      <c r="B34">
        <v>10</v>
      </c>
    </row>
    <row r="35" spans="2:2" x14ac:dyDescent="0.35">
      <c r="B35">
        <v>11</v>
      </c>
    </row>
    <row r="36" spans="2:2" x14ac:dyDescent="0.35">
      <c r="B36">
        <v>12</v>
      </c>
    </row>
    <row r="37" spans="2:2" x14ac:dyDescent="0.35">
      <c r="B37">
        <v>13</v>
      </c>
    </row>
    <row r="38" spans="2:2" x14ac:dyDescent="0.35">
      <c r="B38">
        <v>14</v>
      </c>
    </row>
    <row r="39" spans="2:2" x14ac:dyDescent="0.35">
      <c r="B39">
        <v>15</v>
      </c>
    </row>
    <row r="40" spans="2:2" x14ac:dyDescent="0.35">
      <c r="B40">
        <v>16</v>
      </c>
    </row>
    <row r="41" spans="2:2" x14ac:dyDescent="0.35">
      <c r="B41">
        <v>17</v>
      </c>
    </row>
    <row r="42" spans="2:2" x14ac:dyDescent="0.35">
      <c r="B42">
        <v>18</v>
      </c>
    </row>
    <row r="43" spans="2:2" x14ac:dyDescent="0.35">
      <c r="B43">
        <v>19</v>
      </c>
    </row>
    <row r="44" spans="2:2" x14ac:dyDescent="0.35">
      <c r="B44">
        <v>20</v>
      </c>
    </row>
    <row r="45" spans="2:2" x14ac:dyDescent="0.35">
      <c r="B45">
        <v>21</v>
      </c>
    </row>
    <row r="46" spans="2:2" x14ac:dyDescent="0.35">
      <c r="B46">
        <v>22</v>
      </c>
    </row>
    <row r="47" spans="2:2" x14ac:dyDescent="0.35">
      <c r="B47">
        <v>23</v>
      </c>
    </row>
  </sheetData>
  <autoFilter ref="B18:B22" xr:uid="{00000000-0009-0000-0000-000010000000}"/>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8"/>
  <sheetViews>
    <sheetView showGridLines="0" tabSelected="1" zoomScale="80" zoomScaleNormal="80" workbookViewId="0">
      <selection activeCell="E4" sqref="E4"/>
    </sheetView>
  </sheetViews>
  <sheetFormatPr defaultColWidth="33.453125" defaultRowHeight="14.5" x14ac:dyDescent="0.35"/>
  <cols>
    <col min="1" max="1" width="2" customWidth="1"/>
    <col min="2" max="2" width="5.1796875" bestFit="1" customWidth="1"/>
    <col min="3" max="3" width="34.1796875" customWidth="1"/>
    <col min="4" max="4" width="52.7265625" customWidth="1"/>
    <col min="5" max="5" width="20.7265625" customWidth="1"/>
    <col min="6" max="6" width="19.453125" customWidth="1"/>
    <col min="7" max="7" width="14.7265625" style="21" customWidth="1"/>
    <col min="8" max="8" width="66.7265625" customWidth="1"/>
    <col min="11" max="11" width="4.81640625" customWidth="1"/>
  </cols>
  <sheetData>
    <row r="1" spans="2:11" ht="187.5" customHeight="1" x14ac:dyDescent="0.35"/>
    <row r="2" spans="2:11" x14ac:dyDescent="0.35">
      <c r="B2" s="8" t="s">
        <v>17</v>
      </c>
      <c r="C2" s="9" t="s">
        <v>18</v>
      </c>
      <c r="D2" s="8" t="s">
        <v>26</v>
      </c>
      <c r="E2" s="8" t="s">
        <v>2</v>
      </c>
      <c r="F2" s="8" t="s">
        <v>9</v>
      </c>
      <c r="G2" s="8" t="s">
        <v>27</v>
      </c>
      <c r="H2" s="10" t="s">
        <v>19</v>
      </c>
      <c r="K2" s="3"/>
    </row>
    <row r="3" spans="2:11" x14ac:dyDescent="0.35">
      <c r="B3" s="11">
        <v>1</v>
      </c>
      <c r="C3" s="34" t="s">
        <v>22</v>
      </c>
      <c r="D3" s="35"/>
      <c r="E3" s="35"/>
      <c r="F3" s="35"/>
      <c r="G3" s="35"/>
      <c r="H3" s="36"/>
      <c r="K3" s="4"/>
    </row>
    <row r="4" spans="2:11" ht="143.25" customHeight="1" x14ac:dyDescent="0.35">
      <c r="B4" s="12" t="str">
        <f>$B$3&amp;"."&amp;Ratings!B25</f>
        <v>1.1</v>
      </c>
      <c r="C4" s="13" t="s">
        <v>135</v>
      </c>
      <c r="D4" s="14" t="s">
        <v>139</v>
      </c>
      <c r="E4" s="12" t="s">
        <v>6</v>
      </c>
      <c r="F4" s="12" t="s">
        <v>14</v>
      </c>
      <c r="G4" s="20" t="s">
        <v>28</v>
      </c>
      <c r="H4" s="14" t="s">
        <v>159</v>
      </c>
      <c r="K4" s="4" t="str">
        <f>IFERROR(VLOOKUP(CONCATENATE(E4,F4),Ratings!$H$3:$I$27,2,FALSE),)</f>
        <v>Orange</v>
      </c>
    </row>
    <row r="5" spans="2:11" ht="62.25" customHeight="1" x14ac:dyDescent="0.35">
      <c r="B5" s="12" t="str">
        <f>$B$3&amp;"."&amp;Ratings!B26</f>
        <v>1.2</v>
      </c>
      <c r="C5" s="13" t="s">
        <v>136</v>
      </c>
      <c r="D5" s="14" t="s">
        <v>140</v>
      </c>
      <c r="E5" s="12" t="s">
        <v>6</v>
      </c>
      <c r="F5" s="12" t="s">
        <v>13</v>
      </c>
      <c r="G5" s="20" t="s">
        <v>28</v>
      </c>
      <c r="H5" s="14" t="s">
        <v>160</v>
      </c>
      <c r="K5" s="4" t="str">
        <f>IFERROR(VLOOKUP(CONCATENATE(E5,F5),Ratings!$H$3:$I$27,2,FALSE),)</f>
        <v>Orange</v>
      </c>
    </row>
    <row r="6" spans="2:11" ht="110.25" customHeight="1" x14ac:dyDescent="0.35">
      <c r="B6" s="12" t="str">
        <f>$B$3&amp;"."&amp;Ratings!B27</f>
        <v>1.3</v>
      </c>
      <c r="C6" s="13" t="s">
        <v>137</v>
      </c>
      <c r="D6" s="14" t="s">
        <v>141</v>
      </c>
      <c r="E6" s="12" t="s">
        <v>4</v>
      </c>
      <c r="F6" s="12" t="s">
        <v>14</v>
      </c>
      <c r="G6" s="20" t="s">
        <v>28</v>
      </c>
      <c r="H6" s="14" t="s">
        <v>161</v>
      </c>
      <c r="K6" s="4" t="str">
        <f>IFERROR(VLOOKUP(CONCATENATE(E6,F6),Ratings!$H$3:$I$27,2,FALSE),)</f>
        <v>Orange</v>
      </c>
    </row>
    <row r="7" spans="2:11" ht="39" x14ac:dyDescent="0.35">
      <c r="B7" s="12" t="str">
        <f>$B$3&amp;"."&amp;Ratings!B28</f>
        <v>1.4</v>
      </c>
      <c r="C7" s="13" t="s">
        <v>138</v>
      </c>
      <c r="D7" s="14" t="s">
        <v>142</v>
      </c>
      <c r="E7" s="12" t="s">
        <v>6</v>
      </c>
      <c r="F7" s="12" t="s">
        <v>14</v>
      </c>
      <c r="G7" s="20" t="s">
        <v>28</v>
      </c>
      <c r="H7" s="14" t="s">
        <v>162</v>
      </c>
      <c r="K7" s="4" t="str">
        <f>IFERROR(VLOOKUP(CONCATENATE(E7,F7),Ratings!$H$3:$I$27,2,FALSE),)</f>
        <v>Orange</v>
      </c>
    </row>
    <row r="8" spans="2:11" x14ac:dyDescent="0.35">
      <c r="B8" s="11">
        <v>2</v>
      </c>
      <c r="C8" s="34" t="s">
        <v>23</v>
      </c>
      <c r="D8" s="35"/>
      <c r="E8" s="35"/>
      <c r="F8" s="35"/>
      <c r="G8" s="35"/>
      <c r="H8" s="36"/>
      <c r="K8" s="4">
        <f>IFERROR(VLOOKUP(CONCATENATE(E8,F8),Ratings!$H$3:$I$27,2,FALSE),)</f>
        <v>0</v>
      </c>
    </row>
    <row r="9" spans="2:11" ht="52" x14ac:dyDescent="0.35">
      <c r="B9" s="12" t="str">
        <f>$B$8&amp;"."&amp;Ratings!B25</f>
        <v>2.1</v>
      </c>
      <c r="C9" s="13" t="s">
        <v>143</v>
      </c>
      <c r="D9" s="14" t="s">
        <v>144</v>
      </c>
      <c r="E9" s="12" t="s">
        <v>4</v>
      </c>
      <c r="F9" s="12" t="s">
        <v>13</v>
      </c>
      <c r="G9" s="20" t="s">
        <v>28</v>
      </c>
      <c r="H9" s="14" t="s">
        <v>163</v>
      </c>
      <c r="K9" s="4" t="str">
        <f>IFERROR(VLOOKUP(CONCATENATE(E9,F9),Ratings!$H$3:$I$27,2,FALSE),)</f>
        <v>Yellow</v>
      </c>
    </row>
    <row r="10" spans="2:11" ht="39" x14ac:dyDescent="0.35">
      <c r="B10" s="12" t="str">
        <f>$B$8&amp;"."&amp;Ratings!B26</f>
        <v>2.2</v>
      </c>
      <c r="C10" s="13" t="s">
        <v>145</v>
      </c>
      <c r="D10" s="14" t="s">
        <v>146</v>
      </c>
      <c r="E10" s="12" t="s">
        <v>4</v>
      </c>
      <c r="F10" s="12" t="s">
        <v>14</v>
      </c>
      <c r="G10" s="20" t="s">
        <v>28</v>
      </c>
      <c r="H10" s="14" t="s">
        <v>164</v>
      </c>
      <c r="K10" s="4" t="str">
        <f>IFERROR(VLOOKUP(CONCATENATE(E10,F10),Ratings!$H$3:$I$27,2,FALSE),)</f>
        <v>Orange</v>
      </c>
    </row>
    <row r="11" spans="2:11" ht="52" x14ac:dyDescent="0.35">
      <c r="B11" s="12" t="str">
        <f>$B$8&amp;"."&amp;Ratings!B27</f>
        <v>2.3</v>
      </c>
      <c r="C11" s="13" t="s">
        <v>147</v>
      </c>
      <c r="D11" s="14" t="s">
        <v>148</v>
      </c>
      <c r="E11" s="12" t="s">
        <v>4</v>
      </c>
      <c r="F11" s="12" t="s">
        <v>14</v>
      </c>
      <c r="G11" s="20" t="s">
        <v>28</v>
      </c>
      <c r="H11" s="14" t="s">
        <v>165</v>
      </c>
      <c r="K11" s="4" t="str">
        <f>IFERROR(VLOOKUP(CONCATENATE(E11,F11),Ratings!$H$3:$I$27,2,FALSE),)</f>
        <v>Orange</v>
      </c>
    </row>
    <row r="12" spans="2:11" x14ac:dyDescent="0.35">
      <c r="B12" s="11">
        <v>3</v>
      </c>
      <c r="C12" s="34" t="s">
        <v>24</v>
      </c>
      <c r="D12" s="35"/>
      <c r="E12" s="35"/>
      <c r="F12" s="35"/>
      <c r="G12" s="35"/>
      <c r="H12" s="36"/>
      <c r="K12" s="4">
        <f>IFERROR(VLOOKUP(CONCATENATE(E12,F12),Ratings!$H$3:$I$27,2,FALSE),)</f>
        <v>0</v>
      </c>
    </row>
    <row r="13" spans="2:11" ht="39" x14ac:dyDescent="0.35">
      <c r="B13" s="12" t="str">
        <f>$B$12&amp;"."&amp;Ratings!B25</f>
        <v>3.1</v>
      </c>
      <c r="C13" s="13" t="s">
        <v>149</v>
      </c>
      <c r="D13" s="14" t="s">
        <v>150</v>
      </c>
      <c r="E13" s="12" t="s">
        <v>4</v>
      </c>
      <c r="F13" s="12" t="s">
        <v>14</v>
      </c>
      <c r="G13" s="20" t="s">
        <v>28</v>
      </c>
      <c r="H13" s="14" t="s">
        <v>166</v>
      </c>
      <c r="K13" s="4" t="str">
        <f>IFERROR(VLOOKUP(CONCATENATE(E13,F13),Ratings!$H$3:$I$27,2,FALSE),)</f>
        <v>Orange</v>
      </c>
    </row>
    <row r="14" spans="2:11" ht="26" x14ac:dyDescent="0.35">
      <c r="B14" s="12" t="str">
        <f>$B$12&amp;"."&amp;Ratings!B26</f>
        <v>3.2</v>
      </c>
      <c r="C14" s="13" t="s">
        <v>151</v>
      </c>
      <c r="D14" s="14" t="s">
        <v>152</v>
      </c>
      <c r="E14" s="12" t="s">
        <v>6</v>
      </c>
      <c r="F14" s="12" t="s">
        <v>13</v>
      </c>
      <c r="G14" s="20" t="s">
        <v>28</v>
      </c>
      <c r="H14" s="14" t="s">
        <v>167</v>
      </c>
      <c r="K14" s="4" t="str">
        <f>IFERROR(VLOOKUP(CONCATENATE(E14,F14),Ratings!$H$3:$I$27,2,FALSE),)</f>
        <v>Orange</v>
      </c>
    </row>
    <row r="15" spans="2:11" ht="26" x14ac:dyDescent="0.35">
      <c r="B15" s="12" t="str">
        <f>$B$12&amp;"."&amp;Ratings!B27</f>
        <v>3.3</v>
      </c>
      <c r="C15" s="13" t="s">
        <v>153</v>
      </c>
      <c r="D15" s="14" t="s">
        <v>154</v>
      </c>
      <c r="E15" s="12" t="s">
        <v>4</v>
      </c>
      <c r="F15" s="12" t="s">
        <v>14</v>
      </c>
      <c r="G15" s="20" t="s">
        <v>28</v>
      </c>
      <c r="H15" s="14" t="s">
        <v>168</v>
      </c>
      <c r="K15" s="4" t="str">
        <f>IFERROR(VLOOKUP(CONCATENATE(E15,F15),Ratings!$H$3:$I$27,2,FALSE),)</f>
        <v>Orange</v>
      </c>
    </row>
    <row r="16" spans="2:11" x14ac:dyDescent="0.35">
      <c r="B16" s="11">
        <v>4</v>
      </c>
      <c r="C16" s="34" t="s">
        <v>25</v>
      </c>
      <c r="D16" s="35"/>
      <c r="E16" s="35"/>
      <c r="F16" s="35"/>
      <c r="G16" s="35"/>
      <c r="H16" s="36"/>
      <c r="K16" s="4">
        <f>IFERROR(VLOOKUP(CONCATENATE(E16,F16),Ratings!$H$3:$I$27,2,FALSE),)</f>
        <v>0</v>
      </c>
    </row>
    <row r="17" spans="2:11" ht="39" x14ac:dyDescent="0.35">
      <c r="B17" s="12" t="str">
        <f>$B$16&amp;"."&amp;Ratings!B25</f>
        <v>4.1</v>
      </c>
      <c r="C17" s="13" t="s">
        <v>155</v>
      </c>
      <c r="D17" s="14" t="s">
        <v>156</v>
      </c>
      <c r="E17" s="12" t="s">
        <v>4</v>
      </c>
      <c r="F17" s="12" t="s">
        <v>13</v>
      </c>
      <c r="G17" s="20" t="s">
        <v>28</v>
      </c>
      <c r="H17" s="14" t="s">
        <v>169</v>
      </c>
      <c r="K17" s="4" t="str">
        <f>IFERROR(VLOOKUP(CONCATENATE(E17,F17),Ratings!$H$3:$I$27,2,FALSE),)</f>
        <v>Yellow</v>
      </c>
    </row>
    <row r="18" spans="2:11" ht="52" x14ac:dyDescent="0.35">
      <c r="B18" s="12" t="str">
        <f>$B$16&amp;"."&amp;Ratings!B26</f>
        <v>4.2</v>
      </c>
      <c r="C18" s="13" t="s">
        <v>157</v>
      </c>
      <c r="D18" s="14" t="s">
        <v>158</v>
      </c>
      <c r="E18" s="12" t="s">
        <v>4</v>
      </c>
      <c r="F18" s="12" t="s">
        <v>13</v>
      </c>
      <c r="G18" s="20" t="s">
        <v>28</v>
      </c>
      <c r="H18" s="14" t="s">
        <v>170</v>
      </c>
      <c r="K18" s="4" t="str">
        <f>IFERROR(VLOOKUP(CONCATENATE(E18,F18),Ratings!$H$3:$I$27,2,FALSE),)</f>
        <v>Yellow</v>
      </c>
    </row>
  </sheetData>
  <mergeCells count="4">
    <mergeCell ref="C3:H3"/>
    <mergeCell ref="C8:H8"/>
    <mergeCell ref="C12:H12"/>
    <mergeCell ref="C16:H16"/>
  </mergeCells>
  <conditionalFormatting sqref="B1:B1048576">
    <cfRule type="expression" dxfId="226" priority="20">
      <formula>K1="Red"</formula>
    </cfRule>
    <cfRule type="expression" dxfId="225" priority="21">
      <formula>K1="Orange"</formula>
    </cfRule>
    <cfRule type="expression" dxfId="224" priority="22">
      <formula>K1="Yellow"</formula>
    </cfRule>
    <cfRule type="expression" dxfId="223" priority="23">
      <formula>K1="Green"</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29" operator="equal" id="{1F29EE36-FFCA-444C-9E25-64C437B5150C}">
            <xm:f>Ratings!$B$9</xm:f>
            <x14:dxf>
              <fill>
                <patternFill>
                  <bgColor rgb="FFFF0000"/>
                </patternFill>
              </fill>
            </x14:dxf>
          </x14:cfRule>
          <x14:cfRule type="cellIs" priority="30" operator="equal" id="{9F671DE9-38C2-4C15-B451-DB4C2283F225}">
            <xm:f>Ratings!$B$8</xm:f>
            <x14:dxf>
              <fill>
                <patternFill>
                  <bgColor theme="5" tint="0.39994506668294322"/>
                </patternFill>
              </fill>
            </x14:dxf>
          </x14:cfRule>
          <x14:cfRule type="cellIs" priority="31" operator="equal" id="{27E06269-BFC7-4432-8AE8-480F6F3D59FB}">
            <xm:f>Ratings!$B$7</xm:f>
            <x14:dxf>
              <fill>
                <patternFill>
                  <bgColor theme="7" tint="0.39994506668294322"/>
                </patternFill>
              </fill>
            </x14:dxf>
          </x14:cfRule>
          <x14:cfRule type="cellIs" priority="32" operator="equal" id="{2B0C3479-111F-49F6-A68D-3C5D994E38BA}">
            <xm:f>Ratings!$B$6</xm:f>
            <x14:dxf>
              <fill>
                <patternFill>
                  <bgColor theme="9" tint="0.39994506668294322"/>
                </patternFill>
              </fill>
            </x14:dxf>
          </x14:cfRule>
          <x14:cfRule type="cellIs" priority="33" operator="equal" id="{DCC147CF-E68E-4181-9AB7-F98BE3EF34E0}">
            <xm:f>Ratings!$B$5</xm:f>
            <x14:dxf>
              <fill>
                <patternFill>
                  <bgColor rgb="FF92D050"/>
                </patternFill>
              </fill>
            </x14:dxf>
          </x14:cfRule>
          <xm:sqref>E1:E1048576</xm:sqref>
        </x14:conditionalFormatting>
        <x14:conditionalFormatting xmlns:xm="http://schemas.microsoft.com/office/excel/2006/main">
          <x14:cfRule type="cellIs" priority="24" operator="equal" id="{5C3F7C83-02C5-49D2-AFA8-8FD99D3CFF50}">
            <xm:f>Ratings!$B$16</xm:f>
            <x14:dxf>
              <fill>
                <patternFill>
                  <bgColor rgb="FFFF0000"/>
                </patternFill>
              </fill>
            </x14:dxf>
          </x14:cfRule>
          <x14:cfRule type="cellIs" priority="25" operator="equal" id="{4243841D-3599-41D7-88E9-F5DC80745111}">
            <xm:f>Ratings!$B$15</xm:f>
            <x14:dxf>
              <fill>
                <patternFill>
                  <bgColor theme="5" tint="0.39994506668294322"/>
                </patternFill>
              </fill>
            </x14:dxf>
          </x14:cfRule>
          <x14:cfRule type="cellIs" priority="26" operator="equal" id="{2EF748D4-6E4D-40E2-97EE-FBD414308260}">
            <xm:f>Ratings!$B$14</xm:f>
            <x14:dxf>
              <fill>
                <patternFill>
                  <bgColor theme="7" tint="0.39994506668294322"/>
                </patternFill>
              </fill>
            </x14:dxf>
          </x14:cfRule>
          <x14:cfRule type="cellIs" priority="27" operator="equal" id="{8F7A7428-274C-4C55-BE85-4D2C02C9F76B}">
            <xm:f>Ratings!$B$13</xm:f>
            <x14:dxf>
              <fill>
                <patternFill>
                  <bgColor theme="9" tint="0.39994506668294322"/>
                </patternFill>
              </fill>
            </x14:dxf>
          </x14:cfRule>
          <x14:cfRule type="cellIs" priority="28" operator="equal" id="{68F8182F-1D3E-4C8D-A98D-9098927C12CE}">
            <xm:f>Ratings!$B$12</xm:f>
            <x14:dxf>
              <fill>
                <patternFill>
                  <bgColor rgb="FF92D050"/>
                </patternFill>
              </fill>
            </x14:dxf>
          </x14:cfRule>
          <xm:sqref>F1:F1048576</xm:sqref>
        </x14:conditionalFormatting>
        <x14:conditionalFormatting xmlns:xm="http://schemas.microsoft.com/office/excel/2006/main">
          <x14:cfRule type="cellIs" priority="1" operator="equal" id="{865718A0-DB27-401D-8A36-42FC24E5F540}">
            <xm:f>'\Users\w.dol\Downloads\[PoD Country Risk Assessment - Iraq.xlsx]Ratings'!#REF!</xm:f>
            <x14:dxf>
              <fill>
                <patternFill>
                  <bgColor rgb="FFFF0000"/>
                </patternFill>
              </fill>
            </x14:dxf>
          </x14:cfRule>
          <x14:cfRule type="cellIs" priority="2" operator="equal" id="{8E6F2365-E054-4DD2-A0DA-D4A548AA57C8}">
            <xm:f>'\Users\w.dol\Downloads\[PoD Country Risk Assessment - Iraq.xlsx]Ratings'!#REF!</xm:f>
            <x14:dxf>
              <fill>
                <patternFill>
                  <bgColor theme="5" tint="0.39994506668294322"/>
                </patternFill>
              </fill>
            </x14:dxf>
          </x14:cfRule>
          <x14:cfRule type="cellIs" priority="3" operator="equal" id="{BDA1E7EC-8C00-4DD0-9A2D-3EBA8E0E2930}">
            <xm:f>'\Users\w.dol\Downloads\[PoD Country Risk Assessment - Iraq.xlsx]Ratings'!#REF!</xm:f>
            <x14:dxf>
              <fill>
                <patternFill>
                  <bgColor theme="7" tint="0.39994506668294322"/>
                </patternFill>
              </fill>
            </x14:dxf>
          </x14:cfRule>
          <x14:cfRule type="cellIs" priority="4" operator="equal" id="{2E1FCEE3-519B-4411-9BBA-77CF1B6CAE83}">
            <xm:f>'\Users\w.dol\Downloads\[PoD Country Risk Assessment - Iraq.xlsx]Ratings'!#REF!</xm:f>
            <x14:dxf>
              <fill>
                <patternFill>
                  <bgColor theme="9" tint="0.39994506668294322"/>
                </patternFill>
              </fill>
            </x14:dxf>
          </x14:cfRule>
          <x14:cfRule type="cellIs" priority="5" operator="equal" id="{FCD0051B-C229-41E3-A36F-3D80830E04E2}">
            <xm:f>'\Users\w.dol\Downloads\[PoD Country Risk Assessment - Iraq.xlsx]Ratings'!#REF!</xm:f>
            <x14:dxf>
              <fill>
                <patternFill>
                  <bgColor rgb="FF92D050"/>
                </patternFill>
              </fill>
            </x14:dxf>
          </x14:cfRule>
          <xm:sqref>G2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Ratings!$B$19:$B$22</xm:f>
          </x14:formula1>
          <xm:sqref>G4:G7 G9:G11 G13:G15 G17:G18</xm:sqref>
        </x14:dataValidation>
        <x14:dataValidation type="list" allowBlank="1" showInputMessage="1" showErrorMessage="1" xr:uid="{00000000-0002-0000-0100-000001000000}">
          <x14:formula1>
            <xm:f>Ratings!$B$12:$B$16</xm:f>
          </x14:formula1>
          <xm:sqref>F13:F15 F4:F7 F9:F11 F17:F18</xm:sqref>
        </x14:dataValidation>
        <x14:dataValidation type="list" allowBlank="1" showInputMessage="1" showErrorMessage="1" xr:uid="{00000000-0002-0000-0100-000002000000}">
          <x14:formula1>
            <xm:f>Ratings!$B$5:$B$9</xm:f>
          </x14:formula1>
          <xm:sqref>E13:E15 E4:E7 E9:E11 E17:E18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79599-15E0-40B2-BF24-C14B9D3A756D}">
  <dimension ref="B1:K22"/>
  <sheetViews>
    <sheetView showGridLines="0" topLeftCell="A6" zoomScale="80" zoomScaleNormal="80" workbookViewId="0">
      <selection activeCell="F25" sqref="F25"/>
    </sheetView>
  </sheetViews>
  <sheetFormatPr defaultColWidth="33.453125" defaultRowHeight="14.5" x14ac:dyDescent="0.35"/>
  <cols>
    <col min="1" max="1" width="2" customWidth="1"/>
    <col min="2" max="2" width="5.1796875" bestFit="1" customWidth="1"/>
    <col min="3" max="3" width="34.1796875" customWidth="1"/>
    <col min="4" max="4" width="40.81640625" customWidth="1"/>
    <col min="5" max="5" width="20.7265625" customWidth="1"/>
    <col min="6" max="6" width="19.453125" customWidth="1"/>
    <col min="7" max="7" width="14.7265625" style="21" customWidth="1"/>
    <col min="8" max="8" width="43.7265625" customWidth="1"/>
    <col min="11" max="11" width="4.81640625" customWidth="1"/>
  </cols>
  <sheetData>
    <row r="1" spans="2:11" ht="187.5" customHeight="1" x14ac:dyDescent="0.35"/>
    <row r="2" spans="2:11" x14ac:dyDescent="0.35">
      <c r="B2" s="8" t="s">
        <v>17</v>
      </c>
      <c r="C2" s="9" t="s">
        <v>18</v>
      </c>
      <c r="D2" s="8" t="s">
        <v>26</v>
      </c>
      <c r="E2" s="8" t="s">
        <v>2</v>
      </c>
      <c r="F2" s="8" t="s">
        <v>9</v>
      </c>
      <c r="G2" s="8" t="s">
        <v>27</v>
      </c>
      <c r="H2" s="10" t="s">
        <v>19</v>
      </c>
      <c r="K2" s="3"/>
    </row>
    <row r="3" spans="2:11" x14ac:dyDescent="0.35">
      <c r="B3" s="11">
        <v>1</v>
      </c>
      <c r="C3" s="34" t="s">
        <v>22</v>
      </c>
      <c r="D3" s="35"/>
      <c r="E3" s="35"/>
      <c r="F3" s="35"/>
      <c r="G3" s="35"/>
      <c r="H3" s="36"/>
      <c r="K3" s="4"/>
    </row>
    <row r="4" spans="2:11" ht="39" x14ac:dyDescent="0.35">
      <c r="B4" s="12" t="str">
        <f>$B$3&amp;"."&amp;[5]Ratings!B25</f>
        <v>1.1</v>
      </c>
      <c r="C4" s="13" t="s">
        <v>134</v>
      </c>
      <c r="D4" s="14" t="s">
        <v>127</v>
      </c>
      <c r="E4" s="12" t="s">
        <v>3</v>
      </c>
      <c r="F4" s="12" t="s">
        <v>15</v>
      </c>
      <c r="G4" s="20" t="s">
        <v>29</v>
      </c>
      <c r="H4" s="14" t="s">
        <v>171</v>
      </c>
      <c r="K4" s="4" t="str">
        <f>IFERROR(VLOOKUP(CONCATENATE(E4,F4),[5]Ratings!$H$3:$I$27,2,FALSE),)</f>
        <v>Yellow</v>
      </c>
    </row>
    <row r="5" spans="2:11" ht="52" x14ac:dyDescent="0.35">
      <c r="B5" s="12" t="str">
        <f>$B$3&amp;"."&amp;[5]Ratings!B26</f>
        <v>1.2</v>
      </c>
      <c r="C5" s="13" t="s">
        <v>107</v>
      </c>
      <c r="D5" s="14" t="s">
        <v>172</v>
      </c>
      <c r="E5" s="12" t="s">
        <v>4</v>
      </c>
      <c r="F5" s="12" t="s">
        <v>13</v>
      </c>
      <c r="G5" s="20" t="s">
        <v>29</v>
      </c>
      <c r="H5" s="14" t="s">
        <v>173</v>
      </c>
      <c r="K5" s="4" t="str">
        <f>IFERROR(VLOOKUP(CONCATENATE(E5,F5),[5]Ratings!$H$3:$I$27,2,FALSE),)</f>
        <v>Yellow</v>
      </c>
    </row>
    <row r="6" spans="2:11" ht="52" x14ac:dyDescent="0.35">
      <c r="B6" s="12" t="str">
        <f>$B$3&amp;"."&amp;[5]Ratings!B27</f>
        <v>1.3</v>
      </c>
      <c r="C6" s="13" t="s">
        <v>174</v>
      </c>
      <c r="D6" s="14" t="s">
        <v>175</v>
      </c>
      <c r="E6" s="12" t="s">
        <v>6</v>
      </c>
      <c r="F6" s="12" t="s">
        <v>14</v>
      </c>
      <c r="G6" s="20" t="s">
        <v>28</v>
      </c>
      <c r="H6" s="14" t="s">
        <v>176</v>
      </c>
      <c r="K6" s="4" t="str">
        <f>IFERROR(VLOOKUP(CONCATENATE(E6,F6),[5]Ratings!$H$3:$I$27,2,FALSE),)</f>
        <v>Orange</v>
      </c>
    </row>
    <row r="7" spans="2:11" ht="39" x14ac:dyDescent="0.35">
      <c r="B7" s="12" t="str">
        <f>$B$3&amp;"."&amp;[5]Ratings!B28</f>
        <v>1.4</v>
      </c>
      <c r="C7" s="13" t="s">
        <v>177</v>
      </c>
      <c r="D7" s="14" t="s">
        <v>103</v>
      </c>
      <c r="E7" s="12" t="s">
        <v>4</v>
      </c>
      <c r="F7" s="12" t="s">
        <v>12</v>
      </c>
      <c r="G7" s="20" t="s">
        <v>28</v>
      </c>
      <c r="H7" s="14" t="s">
        <v>102</v>
      </c>
      <c r="K7" s="4" t="str">
        <f>IFERROR(VLOOKUP(CONCATENATE(E7,F7),[5]Ratings!$H$3:$I$27,2,FALSE),)</f>
        <v>Green</v>
      </c>
    </row>
    <row r="8" spans="2:11" ht="52" x14ac:dyDescent="0.35">
      <c r="B8" s="12" t="str">
        <f>$B$3&amp;"."&amp;[5]Ratings!B29</f>
        <v>1.5</v>
      </c>
      <c r="C8" s="13" t="s">
        <v>178</v>
      </c>
      <c r="D8" s="14" t="s">
        <v>179</v>
      </c>
      <c r="E8" s="12" t="s">
        <v>6</v>
      </c>
      <c r="F8" s="12" t="s">
        <v>14</v>
      </c>
      <c r="G8" s="20" t="s">
        <v>28</v>
      </c>
      <c r="H8" s="14" t="s">
        <v>180</v>
      </c>
      <c r="K8" s="4" t="str">
        <f>IFERROR(VLOOKUP(CONCATENATE(E8,F8),[5]Ratings!$H$3:$I$27,2,FALSE),)</f>
        <v>Orange</v>
      </c>
    </row>
    <row r="9" spans="2:11" x14ac:dyDescent="0.35">
      <c r="B9" s="11">
        <v>2</v>
      </c>
      <c r="C9" s="34" t="s">
        <v>23</v>
      </c>
      <c r="D9" s="35"/>
      <c r="E9" s="35"/>
      <c r="F9" s="35"/>
      <c r="G9" s="35"/>
      <c r="H9" s="36"/>
      <c r="K9" s="4">
        <f>IFERROR(VLOOKUP(CONCATENATE(E9,F9),[5]Ratings!$H$3:$I$27,2,FALSE),)</f>
        <v>0</v>
      </c>
    </row>
    <row r="10" spans="2:11" ht="52" x14ac:dyDescent="0.35">
      <c r="B10" s="12" t="str">
        <f>$B$9&amp;"."&amp;[5]Ratings!B25</f>
        <v>2.1</v>
      </c>
      <c r="C10" s="13" t="s">
        <v>181</v>
      </c>
      <c r="D10" s="14" t="s">
        <v>59</v>
      </c>
      <c r="E10" s="12" t="s">
        <v>4</v>
      </c>
      <c r="F10" s="12" t="s">
        <v>13</v>
      </c>
      <c r="G10" s="20" t="s">
        <v>29</v>
      </c>
      <c r="H10" s="14" t="s">
        <v>182</v>
      </c>
      <c r="K10" s="4" t="str">
        <f>IFERROR(VLOOKUP(CONCATENATE(E10,F10),[5]Ratings!$H$3:$I$27,2,FALSE),)</f>
        <v>Yellow</v>
      </c>
    </row>
    <row r="11" spans="2:11" ht="52" x14ac:dyDescent="0.35">
      <c r="B11" s="12" t="str">
        <f>$B$9&amp;"."&amp;[5]Ratings!B26</f>
        <v>2.2</v>
      </c>
      <c r="C11" s="13" t="s">
        <v>107</v>
      </c>
      <c r="D11" s="14" t="s">
        <v>128</v>
      </c>
      <c r="E11" s="12" t="s">
        <v>4</v>
      </c>
      <c r="F11" s="12" t="s">
        <v>13</v>
      </c>
      <c r="G11" s="20" t="s">
        <v>29</v>
      </c>
      <c r="H11" s="14" t="s">
        <v>183</v>
      </c>
      <c r="K11" s="4" t="str">
        <f>IFERROR(VLOOKUP(CONCATENATE(E11,F11),[5]Ratings!$H$3:$I$27,2,FALSE),)</f>
        <v>Yellow</v>
      </c>
    </row>
    <row r="12" spans="2:11" ht="52" x14ac:dyDescent="0.35">
      <c r="B12" s="12" t="str">
        <f>$B$9&amp;"."&amp;[5]Ratings!B27</f>
        <v>2.3</v>
      </c>
      <c r="C12" s="13" t="s">
        <v>184</v>
      </c>
      <c r="D12" s="14" t="s">
        <v>185</v>
      </c>
      <c r="E12" s="12" t="s">
        <v>4</v>
      </c>
      <c r="F12" s="12" t="s">
        <v>14</v>
      </c>
      <c r="G12" s="20" t="s">
        <v>28</v>
      </c>
      <c r="H12" s="14" t="s">
        <v>186</v>
      </c>
      <c r="K12" s="4" t="str">
        <f>IFERROR(VLOOKUP(CONCATENATE(E12,F12),[5]Ratings!$H$3:$I$27,2,FALSE),)</f>
        <v>Orange</v>
      </c>
    </row>
    <row r="13" spans="2:11" ht="52" x14ac:dyDescent="0.35">
      <c r="B13" s="12" t="str">
        <f>$B$9&amp;"."&amp;[5]Ratings!B28</f>
        <v>2.4</v>
      </c>
      <c r="C13" s="13" t="s">
        <v>187</v>
      </c>
      <c r="D13" s="14" t="s">
        <v>188</v>
      </c>
      <c r="E13" s="12" t="s">
        <v>6</v>
      </c>
      <c r="F13" s="12" t="s">
        <v>13</v>
      </c>
      <c r="G13" s="20" t="s">
        <v>28</v>
      </c>
      <c r="H13" s="14" t="s">
        <v>189</v>
      </c>
      <c r="K13" s="4" t="str">
        <f>IFERROR(VLOOKUP(CONCATENATE(E13,F13),[5]Ratings!$H$3:$I$27,2,FALSE),)</f>
        <v>Orange</v>
      </c>
    </row>
    <row r="14" spans="2:11" x14ac:dyDescent="0.35">
      <c r="B14" s="11">
        <v>3</v>
      </c>
      <c r="C14" s="34" t="s">
        <v>24</v>
      </c>
      <c r="D14" s="35"/>
      <c r="E14" s="35"/>
      <c r="F14" s="35"/>
      <c r="G14" s="35"/>
      <c r="H14" s="36"/>
      <c r="K14" s="4">
        <f>IFERROR(VLOOKUP(CONCATENATE(E14,F14),[5]Ratings!$H$3:$I$27,2,FALSE),)</f>
        <v>0</v>
      </c>
    </row>
    <row r="15" spans="2:11" ht="65" x14ac:dyDescent="0.35">
      <c r="B15" s="12" t="str">
        <f>$B$14&amp;"."&amp;[5]Ratings!B25</f>
        <v>3.1</v>
      </c>
      <c r="C15" s="13" t="s">
        <v>105</v>
      </c>
      <c r="D15" s="14" t="s">
        <v>122</v>
      </c>
      <c r="E15" s="12" t="s">
        <v>4</v>
      </c>
      <c r="F15" s="12" t="s">
        <v>14</v>
      </c>
      <c r="G15" s="20" t="s">
        <v>29</v>
      </c>
      <c r="H15" s="14" t="s">
        <v>190</v>
      </c>
      <c r="K15" s="4" t="str">
        <f>IFERROR(VLOOKUP(CONCATENATE(E15,F15),[5]Ratings!$H$3:$I$27,2,FALSE),)</f>
        <v>Orange</v>
      </c>
    </row>
    <row r="16" spans="2:11" ht="39" x14ac:dyDescent="0.35">
      <c r="B16" s="12" t="str">
        <f>$B$14&amp;"."&amp;[5]Ratings!B26</f>
        <v>3.2</v>
      </c>
      <c r="C16" s="13" t="s">
        <v>123</v>
      </c>
      <c r="D16" s="14" t="s">
        <v>104</v>
      </c>
      <c r="E16" s="12" t="s">
        <v>4</v>
      </c>
      <c r="F16" s="12" t="s">
        <v>15</v>
      </c>
      <c r="G16" s="20" t="s">
        <v>29</v>
      </c>
      <c r="H16" s="14" t="s">
        <v>124</v>
      </c>
      <c r="K16" s="4" t="str">
        <f>IFERROR(VLOOKUP(CONCATENATE(E16,F16),[5]Ratings!$H$3:$I$27,2,FALSE),)</f>
        <v>Orange</v>
      </c>
    </row>
    <row r="17" spans="2:11" ht="39" x14ac:dyDescent="0.35">
      <c r="B17" s="12" t="str">
        <f>$B$14&amp;"."&amp;[5]Ratings!B27</f>
        <v>3.3</v>
      </c>
      <c r="C17" s="13" t="s">
        <v>341</v>
      </c>
      <c r="D17" s="14" t="s">
        <v>125</v>
      </c>
      <c r="E17" s="12" t="s">
        <v>6</v>
      </c>
      <c r="F17" s="12" t="s">
        <v>14</v>
      </c>
      <c r="G17" s="20" t="s">
        <v>29</v>
      </c>
      <c r="H17" s="14" t="s">
        <v>191</v>
      </c>
      <c r="K17" s="4" t="str">
        <f>IFERROR(VLOOKUP(CONCATENATE(E17,F17),[5]Ratings!$H$3:$I$27,2,FALSE),)</f>
        <v>Orange</v>
      </c>
    </row>
    <row r="18" spans="2:11" ht="52" x14ac:dyDescent="0.35">
      <c r="B18" s="12" t="str">
        <f>$B$14&amp;"."&amp;[5]Ratings!B28</f>
        <v>3.4</v>
      </c>
      <c r="C18" s="13" t="s">
        <v>48</v>
      </c>
      <c r="D18" s="14" t="s">
        <v>129</v>
      </c>
      <c r="E18" s="12" t="s">
        <v>4</v>
      </c>
      <c r="F18" s="12" t="s">
        <v>14</v>
      </c>
      <c r="G18" s="20" t="s">
        <v>28</v>
      </c>
      <c r="H18" s="14" t="s">
        <v>126</v>
      </c>
      <c r="K18" s="4" t="str">
        <f>IFERROR(VLOOKUP(CONCATENATE(E18,F18),[5]Ratings!$H$3:$I$27,2,FALSE),)</f>
        <v>Orange</v>
      </c>
    </row>
    <row r="19" spans="2:11" ht="15" customHeight="1" x14ac:dyDescent="0.35">
      <c r="B19" s="11">
        <v>4</v>
      </c>
      <c r="C19" s="34" t="s">
        <v>25</v>
      </c>
      <c r="D19" s="35"/>
      <c r="E19" s="35"/>
      <c r="F19" s="35"/>
      <c r="G19" s="35"/>
      <c r="H19" s="36"/>
      <c r="K19" s="4">
        <f>IFERROR(VLOOKUP(CONCATENATE(E19,F19),[5]Ratings!$H$3:$I$27,2,FALSE),)</f>
        <v>0</v>
      </c>
    </row>
    <row r="20" spans="2:11" ht="26" x14ac:dyDescent="0.35">
      <c r="B20" s="12" t="str">
        <f>$B$19&amp;"."&amp;[5]Ratings!B25</f>
        <v>4.1</v>
      </c>
      <c r="C20" s="13" t="s">
        <v>108</v>
      </c>
      <c r="D20" s="14" t="s">
        <v>130</v>
      </c>
      <c r="E20" s="12" t="s">
        <v>6</v>
      </c>
      <c r="F20" s="12" t="s">
        <v>14</v>
      </c>
      <c r="G20" s="20" t="s">
        <v>29</v>
      </c>
      <c r="H20" s="14" t="s">
        <v>109</v>
      </c>
      <c r="K20" s="4" t="str">
        <f>IFERROR(VLOOKUP(CONCATENATE(E20,F20),[5]Ratings!$H$3:$I$27,2,FALSE),)</f>
        <v>Orange</v>
      </c>
    </row>
    <row r="21" spans="2:11" ht="39" x14ac:dyDescent="0.35">
      <c r="B21" s="12" t="str">
        <f>$B$19&amp;"."&amp;[5]Ratings!B26</f>
        <v>4.2</v>
      </c>
      <c r="C21" s="13" t="s">
        <v>192</v>
      </c>
      <c r="D21" s="14" t="s">
        <v>131</v>
      </c>
      <c r="E21" s="12" t="s">
        <v>4</v>
      </c>
      <c r="F21" s="12" t="s">
        <v>12</v>
      </c>
      <c r="G21" s="20" t="s">
        <v>30</v>
      </c>
      <c r="H21" s="14" t="s">
        <v>193</v>
      </c>
      <c r="K21" s="4" t="str">
        <f>IFERROR(VLOOKUP(CONCATENATE(E21,F21),[5]Ratings!$H$3:$I$27,2,FALSE),)</f>
        <v>Green</v>
      </c>
    </row>
    <row r="22" spans="2:11" ht="26" x14ac:dyDescent="0.35">
      <c r="B22" s="12" t="str">
        <f>$B$19&amp;"."&amp;[5]Ratings!B27</f>
        <v>4.3</v>
      </c>
      <c r="C22" s="13" t="s">
        <v>62</v>
      </c>
      <c r="D22" s="14" t="s">
        <v>132</v>
      </c>
      <c r="E22" s="12" t="s">
        <v>3</v>
      </c>
      <c r="F22" s="12" t="s">
        <v>13</v>
      </c>
      <c r="G22" s="20" t="s">
        <v>28</v>
      </c>
      <c r="H22" s="14" t="s">
        <v>194</v>
      </c>
      <c r="K22" s="4" t="str">
        <f>IFERROR(VLOOKUP(CONCATENATE(E22,F22),[5]Ratings!$H$3:$I$27,2,FALSE),)</f>
        <v>Green</v>
      </c>
    </row>
  </sheetData>
  <mergeCells count="4">
    <mergeCell ref="C3:H3"/>
    <mergeCell ref="C9:H9"/>
    <mergeCell ref="C14:H14"/>
    <mergeCell ref="C19:H19"/>
  </mergeCells>
  <conditionalFormatting sqref="B1:B7 B9:B12 B14:B17 B19:B21 B23:B1048576">
    <cfRule type="expression" dxfId="160" priority="17">
      <formula>K1="Red"</formula>
    </cfRule>
    <cfRule type="expression" dxfId="159" priority="18">
      <formula>K1="Orange"</formula>
    </cfRule>
    <cfRule type="expression" dxfId="158" priority="19">
      <formula>K1="Yellow"</formula>
    </cfRule>
    <cfRule type="expression" dxfId="157" priority="20">
      <formula>K1="Green"</formula>
    </cfRule>
  </conditionalFormatting>
  <conditionalFormatting sqref="B8">
    <cfRule type="expression" dxfId="156" priority="13">
      <formula>K8="Red"</formula>
    </cfRule>
    <cfRule type="expression" dxfId="155" priority="14">
      <formula>K8="Orange"</formula>
    </cfRule>
    <cfRule type="expression" dxfId="154" priority="15">
      <formula>K8="Yellow"</formula>
    </cfRule>
    <cfRule type="expression" dxfId="153" priority="16">
      <formula>K8="Green"</formula>
    </cfRule>
  </conditionalFormatting>
  <conditionalFormatting sqref="B13">
    <cfRule type="expression" dxfId="152" priority="9">
      <formula>K13="Red"</formula>
    </cfRule>
    <cfRule type="expression" dxfId="151" priority="10">
      <formula>K13="Orange"</formula>
    </cfRule>
    <cfRule type="expression" dxfId="150" priority="11">
      <formula>K13="Yellow"</formula>
    </cfRule>
    <cfRule type="expression" dxfId="149" priority="12">
      <formula>K13="Green"</formula>
    </cfRule>
  </conditionalFormatting>
  <conditionalFormatting sqref="B18">
    <cfRule type="expression" dxfId="148" priority="5">
      <formula>K18="Red"</formula>
    </cfRule>
    <cfRule type="expression" dxfId="147" priority="6">
      <formula>K18="Orange"</formula>
    </cfRule>
    <cfRule type="expression" dxfId="146" priority="7">
      <formula>K18="Yellow"</formula>
    </cfRule>
    <cfRule type="expression" dxfId="145" priority="8">
      <formula>K18="Green"</formula>
    </cfRule>
  </conditionalFormatting>
  <conditionalFormatting sqref="B22">
    <cfRule type="expression" dxfId="144" priority="1">
      <formula>K22="Red"</formula>
    </cfRule>
    <cfRule type="expression" dxfId="143" priority="2">
      <formula>K22="Orange"</formula>
    </cfRule>
    <cfRule type="expression" dxfId="142" priority="3">
      <formula>K22="Yellow"</formula>
    </cfRule>
    <cfRule type="expression" dxfId="141" priority="4">
      <formula>K22="Green"</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BFEC6-5C11-47E3-821D-199748042102}">
  <dimension ref="B1:K18"/>
  <sheetViews>
    <sheetView showGridLines="0" zoomScale="80" zoomScaleNormal="80" workbookViewId="0">
      <selection activeCell="B16" sqref="B16"/>
    </sheetView>
  </sheetViews>
  <sheetFormatPr defaultColWidth="33.453125" defaultRowHeight="14.5" x14ac:dyDescent="0.35"/>
  <cols>
    <col min="1" max="1" width="2" customWidth="1"/>
    <col min="2" max="2" width="5.1796875" bestFit="1" customWidth="1"/>
    <col min="3" max="3" width="34.1796875" customWidth="1"/>
    <col min="4" max="4" width="53.81640625" customWidth="1"/>
    <col min="5" max="5" width="20.7265625" customWidth="1"/>
    <col min="6" max="6" width="19.453125" customWidth="1"/>
    <col min="7" max="7" width="14.7265625" style="21" customWidth="1"/>
    <col min="8" max="8" width="52.1796875" customWidth="1"/>
    <col min="11" max="11" width="4.81640625" customWidth="1"/>
  </cols>
  <sheetData>
    <row r="1" spans="2:11" ht="187.5" customHeight="1" x14ac:dyDescent="0.35"/>
    <row r="2" spans="2:11" x14ac:dyDescent="0.35">
      <c r="B2" s="8" t="s">
        <v>17</v>
      </c>
      <c r="C2" s="9" t="s">
        <v>18</v>
      </c>
      <c r="D2" s="8" t="s">
        <v>26</v>
      </c>
      <c r="E2" s="8" t="s">
        <v>2</v>
      </c>
      <c r="F2" s="8" t="s">
        <v>9</v>
      </c>
      <c r="G2" s="8" t="s">
        <v>27</v>
      </c>
      <c r="H2" s="10" t="s">
        <v>19</v>
      </c>
      <c r="K2" s="3"/>
    </row>
    <row r="3" spans="2:11" x14ac:dyDescent="0.35">
      <c r="B3" s="11">
        <v>1</v>
      </c>
      <c r="C3" s="34" t="s">
        <v>22</v>
      </c>
      <c r="D3" s="35"/>
      <c r="E3" s="35"/>
      <c r="F3" s="35"/>
      <c r="G3" s="35"/>
      <c r="H3" s="36"/>
      <c r="K3" s="4"/>
    </row>
    <row r="4" spans="2:11" ht="46.5" customHeight="1" x14ac:dyDescent="0.35">
      <c r="B4" s="12" t="str">
        <f>$B$3&amp;"."&amp;[6]Ratings!B25</f>
        <v>1.1</v>
      </c>
      <c r="C4" s="13" t="s">
        <v>110</v>
      </c>
      <c r="D4" s="14" t="s">
        <v>111</v>
      </c>
      <c r="E4" s="12" t="s">
        <v>4</v>
      </c>
      <c r="F4" s="12" t="s">
        <v>15</v>
      </c>
      <c r="G4" s="20" t="s">
        <v>28</v>
      </c>
      <c r="H4" s="14" t="s">
        <v>195</v>
      </c>
      <c r="K4" s="4" t="str">
        <f>IFERROR(VLOOKUP(CONCATENATE(E4,F4),[6]Ratings!$H$3:$I$27,2,FALSE),)</f>
        <v>Orange</v>
      </c>
    </row>
    <row r="5" spans="2:11" ht="93" customHeight="1" x14ac:dyDescent="0.35">
      <c r="B5" s="37" t="s">
        <v>440</v>
      </c>
      <c r="C5" s="13" t="s">
        <v>56</v>
      </c>
      <c r="D5" s="14" t="s">
        <v>196</v>
      </c>
      <c r="E5" s="12" t="s">
        <v>7</v>
      </c>
      <c r="F5" s="12" t="s">
        <v>14</v>
      </c>
      <c r="G5" s="20" t="s">
        <v>28</v>
      </c>
      <c r="H5" s="14" t="s">
        <v>197</v>
      </c>
      <c r="K5" s="4" t="str">
        <f>IFERROR(VLOOKUP(CONCATENATE(E5,F5),[6]Ratings!$H$3:$I$27,2,FALSE),)</f>
        <v>Red</v>
      </c>
    </row>
    <row r="6" spans="2:11" ht="60" customHeight="1" x14ac:dyDescent="0.35">
      <c r="B6" s="12" t="str">
        <f>$B$3&amp;"."&amp;[6]Ratings!B27</f>
        <v>1.3</v>
      </c>
      <c r="C6" s="13" t="s">
        <v>460</v>
      </c>
      <c r="D6" s="14" t="s">
        <v>179</v>
      </c>
      <c r="E6" s="12" t="s">
        <v>4</v>
      </c>
      <c r="F6" s="12" t="s">
        <v>14</v>
      </c>
      <c r="G6" s="20" t="s">
        <v>28</v>
      </c>
      <c r="H6" s="14" t="s">
        <v>459</v>
      </c>
      <c r="K6" s="4" t="str">
        <f>IFERROR(VLOOKUP(CONCATENATE(E6,F6),[6]Ratings!$H$3:$I$27,2,FALSE),)</f>
        <v>Orange</v>
      </c>
    </row>
    <row r="7" spans="2:11" ht="63" customHeight="1" x14ac:dyDescent="0.35">
      <c r="B7" s="12" t="s">
        <v>445</v>
      </c>
      <c r="C7" s="13" t="s">
        <v>133</v>
      </c>
      <c r="D7" s="14" t="s">
        <v>113</v>
      </c>
      <c r="E7" s="12" t="s">
        <v>3</v>
      </c>
      <c r="F7" s="12" t="s">
        <v>12</v>
      </c>
      <c r="G7" s="20" t="s">
        <v>29</v>
      </c>
      <c r="H7" s="14" t="s">
        <v>458</v>
      </c>
      <c r="K7" s="4" t="str">
        <f>IFERROR(VLOOKUP(CONCATENATE(E7,F7),[6]Ratings!$H$3:$I$27,2,FALSE),)</f>
        <v>Green</v>
      </c>
    </row>
    <row r="8" spans="2:11" x14ac:dyDescent="0.35">
      <c r="B8" s="11">
        <v>2</v>
      </c>
      <c r="C8" s="34" t="s">
        <v>23</v>
      </c>
      <c r="D8" s="35"/>
      <c r="E8" s="35"/>
      <c r="F8" s="35"/>
      <c r="G8" s="35"/>
      <c r="H8" s="36"/>
      <c r="K8" s="4">
        <f>IFERROR(VLOOKUP(CONCATENATE(E8,F8),[6]Ratings!$H$3:$I$27,2,FALSE),)</f>
        <v>0</v>
      </c>
    </row>
    <row r="9" spans="2:11" ht="39" x14ac:dyDescent="0.35">
      <c r="B9" s="12" t="str">
        <f>$B$8&amp;"."&amp;[6]Ratings!B25</f>
        <v>2.1</v>
      </c>
      <c r="C9" s="13" t="s">
        <v>181</v>
      </c>
      <c r="D9" s="14" t="s">
        <v>112</v>
      </c>
      <c r="E9" s="12" t="s">
        <v>4</v>
      </c>
      <c r="F9" s="12" t="s">
        <v>14</v>
      </c>
      <c r="G9" s="20" t="s">
        <v>28</v>
      </c>
      <c r="H9" s="14" t="s">
        <v>198</v>
      </c>
      <c r="K9" s="4" t="str">
        <f>IFERROR(VLOOKUP(CONCATENATE(E9,F9),[6]Ratings!$H$3:$I$27,2,FALSE),)</f>
        <v>Orange</v>
      </c>
    </row>
    <row r="10" spans="2:11" ht="39" x14ac:dyDescent="0.35">
      <c r="B10" s="12" t="str">
        <f>$B$8&amp;"."&amp;[6]Ratings!B26</f>
        <v>2.2</v>
      </c>
      <c r="C10" s="13" t="s">
        <v>114</v>
      </c>
      <c r="D10" s="14" t="s">
        <v>115</v>
      </c>
      <c r="E10" s="12" t="s">
        <v>4</v>
      </c>
      <c r="F10" s="12" t="s">
        <v>14</v>
      </c>
      <c r="G10" s="20" t="s">
        <v>28</v>
      </c>
      <c r="H10" s="14" t="s">
        <v>119</v>
      </c>
      <c r="K10" s="4" t="str">
        <f>IFERROR(VLOOKUP(CONCATENATE(E10,F10),[6]Ratings!$H$3:$I$27,2,FALSE),)</f>
        <v>Orange</v>
      </c>
    </row>
    <row r="11" spans="2:11" x14ac:dyDescent="0.35">
      <c r="B11" s="11">
        <v>3</v>
      </c>
      <c r="C11" s="34" t="s">
        <v>24</v>
      </c>
      <c r="D11" s="35"/>
      <c r="E11" s="35"/>
      <c r="F11" s="35"/>
      <c r="G11" s="35"/>
      <c r="H11" s="36"/>
      <c r="K11" s="4">
        <f>IFERROR(VLOOKUP(CONCATENATE(E11,F11),[6]Ratings!$H$3:$I$27,2,FALSE),)</f>
        <v>0</v>
      </c>
    </row>
    <row r="12" spans="2:11" ht="47.25" customHeight="1" x14ac:dyDescent="0.35">
      <c r="B12" s="12" t="str">
        <f>$B$11&amp;"."&amp;[6]Ratings!B25</f>
        <v>3.1</v>
      </c>
      <c r="C12" s="13" t="s">
        <v>105</v>
      </c>
      <c r="D12" s="14" t="s">
        <v>116</v>
      </c>
      <c r="E12" s="12" t="s">
        <v>4</v>
      </c>
      <c r="F12" s="12" t="s">
        <v>14</v>
      </c>
      <c r="G12" s="20" t="s">
        <v>28</v>
      </c>
      <c r="H12" s="14" t="s">
        <v>118</v>
      </c>
      <c r="K12" s="4" t="str">
        <f>IFERROR(VLOOKUP(CONCATENATE(E12,F12),[6]Ratings!$H$3:$I$27,2,FALSE),)</f>
        <v>Orange</v>
      </c>
    </row>
    <row r="13" spans="2:11" ht="55.5" customHeight="1" x14ac:dyDescent="0.35">
      <c r="B13" s="12" t="s">
        <v>457</v>
      </c>
      <c r="C13" s="13" t="s">
        <v>206</v>
      </c>
      <c r="D13" s="14" t="s">
        <v>207</v>
      </c>
      <c r="E13" s="12" t="s">
        <v>4</v>
      </c>
      <c r="F13" s="12" t="s">
        <v>15</v>
      </c>
      <c r="G13" s="20" t="s">
        <v>29</v>
      </c>
      <c r="H13" s="14" t="s">
        <v>208</v>
      </c>
      <c r="K13" s="4" t="str">
        <f>IFERROR(VLOOKUP(CONCATENATE(E13,F13),[6]Ratings!$H$3:$I$27,2,FALSE),)</f>
        <v>Orange</v>
      </c>
    </row>
    <row r="14" spans="2:11" ht="39" x14ac:dyDescent="0.35">
      <c r="B14" s="12" t="s">
        <v>456</v>
      </c>
      <c r="C14" s="13" t="s">
        <v>341</v>
      </c>
      <c r="D14" s="14" t="s">
        <v>117</v>
      </c>
      <c r="E14" s="12" t="s">
        <v>4</v>
      </c>
      <c r="F14" s="12" t="s">
        <v>14</v>
      </c>
      <c r="G14" s="20" t="s">
        <v>29</v>
      </c>
      <c r="H14" s="14" t="s">
        <v>191</v>
      </c>
      <c r="K14" s="4" t="str">
        <f>IFERROR(VLOOKUP(CONCATENATE(E14,F14),[6]Ratings!$H$3:$I$27,2,FALSE),)</f>
        <v>Orange</v>
      </c>
    </row>
    <row r="15" spans="2:11" ht="65" x14ac:dyDescent="0.35">
      <c r="B15" s="12" t="s">
        <v>455</v>
      </c>
      <c r="C15" s="13" t="s">
        <v>48</v>
      </c>
      <c r="D15" s="14" t="s">
        <v>121</v>
      </c>
      <c r="E15" s="12" t="s">
        <v>4</v>
      </c>
      <c r="F15" s="12" t="s">
        <v>14</v>
      </c>
      <c r="G15" s="20" t="s">
        <v>28</v>
      </c>
      <c r="H15" s="14" t="s">
        <v>199</v>
      </c>
      <c r="K15" s="4" t="str">
        <f>IFERROR(VLOOKUP(CONCATENATE(E15,F15),[6]Ratings!$H$3:$I$27,2,FALSE),)</f>
        <v>Orange</v>
      </c>
    </row>
    <row r="16" spans="2:11" x14ac:dyDescent="0.35">
      <c r="B16" s="11">
        <v>4</v>
      </c>
      <c r="C16" s="34" t="s">
        <v>25</v>
      </c>
      <c r="D16" s="35"/>
      <c r="E16" s="35"/>
      <c r="F16" s="35"/>
      <c r="G16" s="35"/>
      <c r="H16" s="36"/>
      <c r="K16" s="4">
        <f>IFERROR(VLOOKUP(CONCATENATE(E16,F16),[6]Ratings!$H$3:$I$27,2,FALSE),)</f>
        <v>0</v>
      </c>
    </row>
    <row r="17" spans="2:11" ht="40.5" customHeight="1" x14ac:dyDescent="0.35">
      <c r="B17" s="12" t="str">
        <f>$B$16&amp;"."&amp;[6]Ratings!B25</f>
        <v>4.1</v>
      </c>
      <c r="C17" s="13" t="s">
        <v>106</v>
      </c>
      <c r="D17" s="14" t="s">
        <v>120</v>
      </c>
      <c r="E17" s="12" t="s">
        <v>6</v>
      </c>
      <c r="F17" s="12" t="s">
        <v>14</v>
      </c>
      <c r="G17" s="20" t="s">
        <v>28</v>
      </c>
      <c r="H17" s="14" t="s">
        <v>109</v>
      </c>
      <c r="K17" s="4" t="str">
        <f>IFERROR(VLOOKUP(CONCATENATE(E17,F17),[6]Ratings!$H$3:$I$27,2,FALSE),)</f>
        <v>Orange</v>
      </c>
    </row>
    <row r="18" spans="2:11" ht="28.5" customHeight="1" x14ac:dyDescent="0.35">
      <c r="B18" s="12" t="s">
        <v>451</v>
      </c>
      <c r="C18" s="13" t="s">
        <v>454</v>
      </c>
      <c r="D18" s="14" t="s">
        <v>453</v>
      </c>
      <c r="E18" s="12" t="s">
        <v>4</v>
      </c>
      <c r="F18" s="12" t="s">
        <v>13</v>
      </c>
      <c r="G18" s="20" t="s">
        <v>28</v>
      </c>
      <c r="H18" s="14" t="s">
        <v>452</v>
      </c>
      <c r="K18" s="4" t="str">
        <f>IFERROR(VLOOKUP(CONCATENATE(E18,F18),[6]Ratings!$H$3:$I$27,2,FALSE),)</f>
        <v>Yellow</v>
      </c>
    </row>
  </sheetData>
  <mergeCells count="4">
    <mergeCell ref="C3:H3"/>
    <mergeCell ref="C8:H8"/>
    <mergeCell ref="C11:H11"/>
    <mergeCell ref="C16:H16"/>
  </mergeCells>
  <conditionalFormatting sqref="B2:B5 B7:B12 B14:B17 B19:B1048576">
    <cfRule type="expression" dxfId="120" priority="17">
      <formula>K2="Red"</formula>
    </cfRule>
    <cfRule type="expression" dxfId="119" priority="18">
      <formula>K2="Orange"</formula>
    </cfRule>
    <cfRule type="expression" dxfId="118" priority="19">
      <formula>K2="Yellow"</formula>
    </cfRule>
    <cfRule type="expression" dxfId="117" priority="20">
      <formula>K2="Green"</formula>
    </cfRule>
  </conditionalFormatting>
  <conditionalFormatting sqref="B1">
    <cfRule type="expression" dxfId="116" priority="13">
      <formula>K1="Red"</formula>
    </cfRule>
    <cfRule type="expression" dxfId="115" priority="14">
      <formula>K1="Orange"</formula>
    </cfRule>
    <cfRule type="expression" dxfId="114" priority="15">
      <formula>K1="Yellow"</formula>
    </cfRule>
    <cfRule type="expression" dxfId="113" priority="16">
      <formula>K1="Green"</formula>
    </cfRule>
  </conditionalFormatting>
  <conditionalFormatting sqref="B13">
    <cfRule type="expression" dxfId="112" priority="9">
      <formula>K13="Red"</formula>
    </cfRule>
    <cfRule type="expression" dxfId="111" priority="10">
      <formula>K13="Orange"</formula>
    </cfRule>
    <cfRule type="expression" dxfId="110" priority="11">
      <formula>K13="Yellow"</formula>
    </cfRule>
    <cfRule type="expression" dxfId="109" priority="12">
      <formula>K13="Green"</formula>
    </cfRule>
  </conditionalFormatting>
  <conditionalFormatting sqref="B6">
    <cfRule type="expression" dxfId="108" priority="5">
      <formula>K6="Red"</formula>
    </cfRule>
    <cfRule type="expression" dxfId="107" priority="6">
      <formula>K6="Orange"</formula>
    </cfRule>
    <cfRule type="expression" dxfId="106" priority="7">
      <formula>K6="Yellow"</formula>
    </cfRule>
    <cfRule type="expression" dxfId="105" priority="8">
      <formula>K6="Green"</formula>
    </cfRule>
  </conditionalFormatting>
  <conditionalFormatting sqref="B18">
    <cfRule type="expression" dxfId="104" priority="1">
      <formula>K18="Red"</formula>
    </cfRule>
    <cfRule type="expression" dxfId="103" priority="2">
      <formula>K18="Orange"</formula>
    </cfRule>
    <cfRule type="expression" dxfId="102" priority="3">
      <formula>K18="Yellow"</formula>
    </cfRule>
    <cfRule type="expression" dxfId="101" priority="4">
      <formula>K18="Green"</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94797-7184-4517-8BF7-869E18EB435B}">
  <dimension ref="A15:G33"/>
  <sheetViews>
    <sheetView topLeftCell="A33" workbookViewId="0">
      <selection activeCell="D17" sqref="D17"/>
    </sheetView>
  </sheetViews>
  <sheetFormatPr defaultColWidth="10.90625" defaultRowHeight="14.5" x14ac:dyDescent="0.35"/>
  <cols>
    <col min="1" max="1" width="13.36328125" customWidth="1"/>
    <col min="2" max="2" width="34.08984375" customWidth="1"/>
    <col min="3" max="3" width="48.08984375" customWidth="1"/>
    <col min="4" max="4" width="20.6328125" customWidth="1"/>
    <col min="5" max="5" width="19.453125" customWidth="1"/>
    <col min="6" max="6" width="14.6328125" customWidth="1"/>
    <col min="7" max="7" width="54.90625" customWidth="1"/>
  </cols>
  <sheetData>
    <row r="15" spans="1:7" x14ac:dyDescent="0.35">
      <c r="A15" s="8" t="s">
        <v>17</v>
      </c>
      <c r="B15" s="9" t="s">
        <v>18</v>
      </c>
      <c r="C15" s="8" t="s">
        <v>26</v>
      </c>
      <c r="D15" s="8" t="s">
        <v>2</v>
      </c>
      <c r="E15" s="8" t="s">
        <v>9</v>
      </c>
      <c r="F15" s="8" t="s">
        <v>27</v>
      </c>
      <c r="G15" s="39" t="s">
        <v>19</v>
      </c>
    </row>
    <row r="16" spans="1:7" x14ac:dyDescent="0.35">
      <c r="A16" s="11">
        <v>1</v>
      </c>
      <c r="B16" s="34" t="s">
        <v>22</v>
      </c>
      <c r="C16" s="35"/>
      <c r="D16" s="35"/>
      <c r="E16" s="35"/>
      <c r="F16" s="35"/>
      <c r="G16" s="36"/>
    </row>
    <row r="17" spans="1:7" ht="65" x14ac:dyDescent="0.35">
      <c r="A17" s="12" t="str">
        <f>$B$16&amp;"."&amp;[7]Ratings!A25</f>
        <v>Contextual risks.</v>
      </c>
      <c r="B17" s="13" t="s">
        <v>200</v>
      </c>
      <c r="C17" s="14" t="s">
        <v>201</v>
      </c>
      <c r="D17" s="38" t="s">
        <v>4</v>
      </c>
      <c r="E17" s="12" t="s">
        <v>14</v>
      </c>
      <c r="F17" s="20" t="s">
        <v>29</v>
      </c>
      <c r="G17" s="14" t="s">
        <v>202</v>
      </c>
    </row>
    <row r="18" spans="1:7" ht="52" x14ac:dyDescent="0.35">
      <c r="A18" s="12" t="str">
        <f>$B$16&amp;"."&amp;[7]Ratings!A26</f>
        <v>Contextual risks.</v>
      </c>
      <c r="B18" s="13" t="s">
        <v>203</v>
      </c>
      <c r="C18" s="14" t="s">
        <v>204</v>
      </c>
      <c r="D18" s="12" t="s">
        <v>4</v>
      </c>
      <c r="E18" s="12" t="s">
        <v>13</v>
      </c>
      <c r="F18" s="20" t="s">
        <v>28</v>
      </c>
      <c r="G18" s="14" t="s">
        <v>205</v>
      </c>
    </row>
    <row r="19" spans="1:7" ht="39" x14ac:dyDescent="0.35">
      <c r="A19" s="12" t="str">
        <f>$B$16&amp;"."&amp;[7]Ratings!A27</f>
        <v>Contextual risks.</v>
      </c>
      <c r="B19" s="13" t="s">
        <v>206</v>
      </c>
      <c r="C19" s="14" t="s">
        <v>207</v>
      </c>
      <c r="D19" s="12" t="s">
        <v>4</v>
      </c>
      <c r="E19" s="12" t="s">
        <v>15</v>
      </c>
      <c r="F19" s="20" t="s">
        <v>28</v>
      </c>
      <c r="G19" s="14" t="s">
        <v>208</v>
      </c>
    </row>
    <row r="20" spans="1:7" ht="65" x14ac:dyDescent="0.35">
      <c r="A20" s="12" t="str">
        <f>$B$16&amp;"."&amp;[7]Ratings!A28</f>
        <v>Contextual risks.</v>
      </c>
      <c r="B20" s="13" t="s">
        <v>56</v>
      </c>
      <c r="C20" s="14" t="s">
        <v>209</v>
      </c>
      <c r="D20" s="12" t="s">
        <v>4</v>
      </c>
      <c r="E20" s="12" t="s">
        <v>14</v>
      </c>
      <c r="F20" s="20" t="s">
        <v>28</v>
      </c>
      <c r="G20" s="14" t="s">
        <v>210</v>
      </c>
    </row>
    <row r="21" spans="1:7" ht="39" x14ac:dyDescent="0.35">
      <c r="A21" s="12" t="str">
        <f>$B$16&amp;"."&amp;[7]Ratings!A29</f>
        <v>Contextual risks.</v>
      </c>
      <c r="B21" s="13" t="s">
        <v>57</v>
      </c>
      <c r="C21" s="14" t="s">
        <v>211</v>
      </c>
      <c r="D21" s="12" t="s">
        <v>4</v>
      </c>
      <c r="E21" s="12" t="s">
        <v>12</v>
      </c>
      <c r="F21" s="20" t="s">
        <v>28</v>
      </c>
      <c r="G21" s="14" t="s">
        <v>212</v>
      </c>
    </row>
    <row r="22" spans="1:7" x14ac:dyDescent="0.35">
      <c r="A22" s="11">
        <v>2</v>
      </c>
      <c r="B22" s="34" t="s">
        <v>23</v>
      </c>
      <c r="C22" s="35"/>
      <c r="D22" s="35"/>
      <c r="E22" s="35"/>
      <c r="F22" s="35"/>
      <c r="G22" s="36"/>
    </row>
    <row r="23" spans="1:7" ht="39" x14ac:dyDescent="0.35">
      <c r="A23" s="12" t="str">
        <f>$B$22&amp;"."&amp;[7]Ratings!A25</f>
        <v>Programme risks .</v>
      </c>
      <c r="B23" s="13" t="s">
        <v>58</v>
      </c>
      <c r="C23" s="14" t="s">
        <v>59</v>
      </c>
      <c r="D23" s="12" t="s">
        <v>4</v>
      </c>
      <c r="E23" s="12" t="s">
        <v>13</v>
      </c>
      <c r="F23" s="20" t="s">
        <v>28</v>
      </c>
      <c r="G23" s="14" t="s">
        <v>213</v>
      </c>
    </row>
    <row r="24" spans="1:7" ht="39" x14ac:dyDescent="0.35">
      <c r="A24" s="12" t="str">
        <f>$B$22&amp;"."&amp;[7]Ratings!A26</f>
        <v>Programme risks .</v>
      </c>
      <c r="B24" s="13" t="s">
        <v>60</v>
      </c>
      <c r="C24" s="14" t="s">
        <v>214</v>
      </c>
      <c r="D24" s="12" t="s">
        <v>4</v>
      </c>
      <c r="E24" s="12" t="s">
        <v>14</v>
      </c>
      <c r="F24" s="20" t="s">
        <v>28</v>
      </c>
      <c r="G24" s="14" t="s">
        <v>215</v>
      </c>
    </row>
    <row r="25" spans="1:7" ht="52" x14ac:dyDescent="0.35">
      <c r="A25" s="12" t="str">
        <f>$B$22&amp;"."&amp;[7]Ratings!A27</f>
        <v>Programme risks .</v>
      </c>
      <c r="B25" s="13" t="s">
        <v>69</v>
      </c>
      <c r="C25" s="14" t="s">
        <v>216</v>
      </c>
      <c r="D25" s="12" t="s">
        <v>6</v>
      </c>
      <c r="E25" s="12" t="s">
        <v>14</v>
      </c>
      <c r="F25" s="20" t="s">
        <v>28</v>
      </c>
      <c r="G25" s="14" t="s">
        <v>217</v>
      </c>
    </row>
    <row r="26" spans="1:7" x14ac:dyDescent="0.35">
      <c r="A26" s="11">
        <v>3</v>
      </c>
      <c r="B26" s="34" t="s">
        <v>24</v>
      </c>
      <c r="C26" s="35"/>
      <c r="D26" s="35"/>
      <c r="E26" s="35"/>
      <c r="F26" s="35"/>
      <c r="G26" s="36"/>
    </row>
    <row r="27" spans="1:7" ht="91" x14ac:dyDescent="0.35">
      <c r="A27" s="12" t="str">
        <f>$B$26&amp;"."&amp;[7]Ratings!A25</f>
        <v>Risk relating to the implementing organization.</v>
      </c>
      <c r="B27" s="13" t="s">
        <v>61</v>
      </c>
      <c r="C27" s="14" t="s">
        <v>218</v>
      </c>
      <c r="D27" s="12" t="s">
        <v>6</v>
      </c>
      <c r="E27" s="12" t="s">
        <v>14</v>
      </c>
      <c r="F27" s="20" t="s">
        <v>28</v>
      </c>
      <c r="G27" s="14" t="s">
        <v>219</v>
      </c>
    </row>
    <row r="28" spans="1:7" ht="91" x14ac:dyDescent="0.35">
      <c r="A28" s="12" t="str">
        <f>$B$26&amp;"."&amp;[7]Ratings!A26</f>
        <v>Risk relating to the implementing organization.</v>
      </c>
      <c r="B28" s="13" t="s">
        <v>21</v>
      </c>
      <c r="C28" s="14" t="s">
        <v>70</v>
      </c>
      <c r="D28" s="12" t="s">
        <v>71</v>
      </c>
      <c r="E28" s="12" t="s">
        <v>14</v>
      </c>
      <c r="F28" s="20" t="s">
        <v>28</v>
      </c>
      <c r="G28" s="14" t="s">
        <v>220</v>
      </c>
    </row>
    <row r="29" spans="1:7" ht="91" x14ac:dyDescent="0.35">
      <c r="A29" s="12" t="str">
        <f>$B$26&amp;"."&amp;[7]Ratings!A27</f>
        <v>Risk relating to the implementing organization.</v>
      </c>
      <c r="B29" s="13" t="s">
        <v>48</v>
      </c>
      <c r="C29" s="14" t="s">
        <v>221</v>
      </c>
      <c r="D29" s="12" t="s">
        <v>6</v>
      </c>
      <c r="E29" s="12" t="s">
        <v>13</v>
      </c>
      <c r="F29" s="20" t="s">
        <v>28</v>
      </c>
      <c r="G29" s="14" t="s">
        <v>222</v>
      </c>
    </row>
    <row r="30" spans="1:7" x14ac:dyDescent="0.35">
      <c r="A30" s="11">
        <v>4</v>
      </c>
      <c r="B30" s="34" t="s">
        <v>25</v>
      </c>
      <c r="C30" s="35"/>
      <c r="D30" s="35"/>
      <c r="E30" s="35"/>
      <c r="F30" s="35"/>
      <c r="G30" s="36"/>
    </row>
    <row r="31" spans="1:7" ht="91" x14ac:dyDescent="0.35">
      <c r="A31" s="12" t="str">
        <f>$B$30&amp;"."&amp;[7]Ratings!A25</f>
        <v>Risk relating to the use of technology and data.</v>
      </c>
      <c r="B31" s="13" t="s">
        <v>223</v>
      </c>
      <c r="C31" s="14" t="s">
        <v>224</v>
      </c>
      <c r="D31" s="12" t="s">
        <v>4</v>
      </c>
      <c r="E31" s="12" t="s">
        <v>13</v>
      </c>
      <c r="F31" s="20" t="s">
        <v>28</v>
      </c>
      <c r="G31" s="14" t="s">
        <v>225</v>
      </c>
    </row>
    <row r="32" spans="1:7" ht="91" x14ac:dyDescent="0.35">
      <c r="A32" s="12" t="str">
        <f>$B$30&amp;"."&amp;[7]Ratings!A26</f>
        <v>Risk relating to the use of technology and data.</v>
      </c>
      <c r="B32" s="13" t="s">
        <v>72</v>
      </c>
      <c r="C32" s="14" t="s">
        <v>226</v>
      </c>
      <c r="D32" s="12" t="s">
        <v>6</v>
      </c>
      <c r="E32" s="12" t="s">
        <v>13</v>
      </c>
      <c r="F32" s="20" t="s">
        <v>28</v>
      </c>
      <c r="G32" s="14" t="s">
        <v>227</v>
      </c>
    </row>
    <row r="33" spans="1:7" ht="91" x14ac:dyDescent="0.35">
      <c r="A33" s="12" t="str">
        <f>$B$30&amp;"."&amp;[7]Ratings!A27</f>
        <v>Risk relating to the use of technology and data.</v>
      </c>
      <c r="B33" s="13" t="s">
        <v>228</v>
      </c>
      <c r="C33" s="14" t="s">
        <v>229</v>
      </c>
      <c r="D33" s="12" t="s">
        <v>4</v>
      </c>
      <c r="E33" s="12" t="s">
        <v>13</v>
      </c>
      <c r="F33" s="20" t="s">
        <v>29</v>
      </c>
      <c r="G33" s="14" t="s">
        <v>230</v>
      </c>
    </row>
  </sheetData>
  <mergeCells count="4">
    <mergeCell ref="B16:G16"/>
    <mergeCell ref="B22:G22"/>
    <mergeCell ref="B26:G26"/>
    <mergeCell ref="B30:G30"/>
  </mergeCells>
  <conditionalFormatting sqref="A15:A20 A22:A32">
    <cfRule type="expression" dxfId="88" priority="9">
      <formula>J15="Red"</formula>
    </cfRule>
    <cfRule type="expression" dxfId="87" priority="10">
      <formula>J15="Orange"</formula>
    </cfRule>
    <cfRule type="expression" dxfId="86" priority="11">
      <formula>J15="Yellow"</formula>
    </cfRule>
    <cfRule type="expression" dxfId="85" priority="12">
      <formula>J15="Green"</formula>
    </cfRule>
  </conditionalFormatting>
  <conditionalFormatting sqref="A21">
    <cfRule type="expression" dxfId="84" priority="5">
      <formula>J21="Red"</formula>
    </cfRule>
    <cfRule type="expression" dxfId="83" priority="6">
      <formula>J21="Orange"</formula>
    </cfRule>
    <cfRule type="expression" dxfId="82" priority="7">
      <formula>J21="Yellow"</formula>
    </cfRule>
    <cfRule type="expression" dxfId="81" priority="8">
      <formula>J21="Green"</formula>
    </cfRule>
  </conditionalFormatting>
  <conditionalFormatting sqref="A33">
    <cfRule type="expression" dxfId="80" priority="1">
      <formula>J33="Red"</formula>
    </cfRule>
    <cfRule type="expression" dxfId="79" priority="2">
      <formula>J33="Orange"</formula>
    </cfRule>
    <cfRule type="expression" dxfId="78" priority="3">
      <formula>J33="Yellow"</formula>
    </cfRule>
    <cfRule type="expression" dxfId="77" priority="4">
      <formula>J33="Green"</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7EC4B-AD8F-4031-8DCC-C9B0B6DF259F}">
  <dimension ref="B1:K18"/>
  <sheetViews>
    <sheetView showGridLines="0" zoomScale="80" zoomScaleNormal="80" workbookViewId="0">
      <selection activeCell="B7" sqref="B7"/>
    </sheetView>
  </sheetViews>
  <sheetFormatPr defaultColWidth="33.453125" defaultRowHeight="14.5" x14ac:dyDescent="0.35"/>
  <cols>
    <col min="1" max="1" width="2" customWidth="1"/>
    <col min="2" max="2" width="5.1796875" bestFit="1" customWidth="1"/>
    <col min="3" max="3" width="34.1796875" customWidth="1"/>
    <col min="4" max="4" width="51" customWidth="1"/>
    <col min="5" max="5" width="20.6328125" customWidth="1"/>
    <col min="6" max="6" width="19.453125" customWidth="1"/>
    <col min="7" max="7" width="14.6328125" style="21" customWidth="1"/>
    <col min="8" max="8" width="52.6328125" style="27" customWidth="1"/>
    <col min="11" max="11" width="4.81640625" customWidth="1"/>
  </cols>
  <sheetData>
    <row r="1" spans="2:11" ht="187.5" customHeight="1" x14ac:dyDescent="0.35"/>
    <row r="2" spans="2:11" x14ac:dyDescent="0.35">
      <c r="B2" s="8" t="s">
        <v>17</v>
      </c>
      <c r="C2" s="9" t="s">
        <v>18</v>
      </c>
      <c r="D2" s="8" t="s">
        <v>26</v>
      </c>
      <c r="E2" s="8" t="s">
        <v>2</v>
      </c>
      <c r="F2" s="8" t="s">
        <v>9</v>
      </c>
      <c r="G2" s="8" t="s">
        <v>27</v>
      </c>
      <c r="H2" s="28" t="s">
        <v>19</v>
      </c>
      <c r="K2" s="3"/>
    </row>
    <row r="3" spans="2:11" x14ac:dyDescent="0.35">
      <c r="B3" s="11">
        <v>1</v>
      </c>
      <c r="C3" s="34" t="s">
        <v>22</v>
      </c>
      <c r="D3" s="35"/>
      <c r="E3" s="35"/>
      <c r="F3" s="35"/>
      <c r="G3" s="35"/>
      <c r="H3" s="36"/>
      <c r="K3" s="4"/>
    </row>
    <row r="4" spans="2:11" ht="52" x14ac:dyDescent="0.35">
      <c r="B4" s="12" t="str">
        <f>$B$3&amp;"."&amp;[3]Ratings!B25</f>
        <v>1.1</v>
      </c>
      <c r="C4" s="13" t="s">
        <v>73</v>
      </c>
      <c r="D4" s="14" t="s">
        <v>231</v>
      </c>
      <c r="E4" s="12" t="s">
        <v>4</v>
      </c>
      <c r="F4" s="12" t="s">
        <v>13</v>
      </c>
      <c r="G4" s="20" t="s">
        <v>29</v>
      </c>
      <c r="H4" s="22" t="s">
        <v>74</v>
      </c>
      <c r="K4" s="4" t="str">
        <f>IFERROR(VLOOKUP(CONCATENATE(E4,F4),[3]Ratings!$H$3:$I$27,2,FALSE),)</f>
        <v>Yellow</v>
      </c>
    </row>
    <row r="5" spans="2:11" ht="30" customHeight="1" x14ac:dyDescent="0.35">
      <c r="B5" s="12" t="str">
        <f>$B$3&amp;"."&amp;[3]Ratings!B26</f>
        <v>1.2</v>
      </c>
      <c r="C5" s="13" t="s">
        <v>75</v>
      </c>
      <c r="D5" s="14" t="s">
        <v>232</v>
      </c>
      <c r="E5" s="12" t="s">
        <v>3</v>
      </c>
      <c r="F5" s="12" t="s">
        <v>14</v>
      </c>
      <c r="G5" s="20" t="s">
        <v>28</v>
      </c>
      <c r="H5" s="22" t="s">
        <v>76</v>
      </c>
      <c r="K5" s="4" t="str">
        <f>IFERROR(VLOOKUP(CONCATENATE(E5,F5),[3]Ratings!$H$3:$I$27,2,FALSE),)</f>
        <v>Yellow</v>
      </c>
    </row>
    <row r="6" spans="2:11" ht="39" x14ac:dyDescent="0.35">
      <c r="B6" s="12" t="str">
        <f>$B$3&amp;"."&amp;[3]Ratings!B27</f>
        <v>1.3</v>
      </c>
      <c r="C6" s="13" t="s">
        <v>233</v>
      </c>
      <c r="D6" s="14" t="s">
        <v>77</v>
      </c>
      <c r="E6" s="12" t="s">
        <v>6</v>
      </c>
      <c r="F6" s="12" t="s">
        <v>13</v>
      </c>
      <c r="G6" s="20" t="s">
        <v>28</v>
      </c>
      <c r="H6" s="22" t="s">
        <v>78</v>
      </c>
      <c r="K6" s="4" t="str">
        <f>IFERROR(VLOOKUP(CONCATENATE(E6,F6),[3]Ratings!$H$3:$I$27,2,FALSE),)</f>
        <v>Orange</v>
      </c>
    </row>
    <row r="7" spans="2:11" x14ac:dyDescent="0.35">
      <c r="B7" s="11">
        <v>2</v>
      </c>
      <c r="C7" s="34" t="s">
        <v>23</v>
      </c>
      <c r="D7" s="35"/>
      <c r="E7" s="35"/>
      <c r="F7" s="35"/>
      <c r="G7" s="35"/>
      <c r="H7" s="36"/>
      <c r="K7" s="4">
        <f>IFERROR(VLOOKUP(CONCATENATE(E7,F7),[3]Ratings!$H$3:$I$27,2,FALSE),)</f>
        <v>0</v>
      </c>
    </row>
    <row r="8" spans="2:11" ht="39" x14ac:dyDescent="0.35">
      <c r="B8" s="12" t="str">
        <f>$B$7&amp;"."&amp;[3]Ratings!B25</f>
        <v>2.1</v>
      </c>
      <c r="C8" s="13" t="s">
        <v>79</v>
      </c>
      <c r="D8" s="14" t="s">
        <v>80</v>
      </c>
      <c r="E8" s="12" t="s">
        <v>6</v>
      </c>
      <c r="F8" s="12" t="s">
        <v>14</v>
      </c>
      <c r="G8" s="20" t="s">
        <v>28</v>
      </c>
      <c r="H8" s="22" t="s">
        <v>234</v>
      </c>
      <c r="K8" s="4" t="str">
        <f>IFERROR(VLOOKUP(CONCATENATE(E8,F8),[3]Ratings!$H$3:$I$27,2,FALSE),)</f>
        <v>Orange</v>
      </c>
    </row>
    <row r="9" spans="2:11" ht="46.5" customHeight="1" x14ac:dyDescent="0.35">
      <c r="B9" s="12" t="str">
        <f>$B$7&amp;"."&amp;[3]Ratings!B26</f>
        <v>2.2</v>
      </c>
      <c r="C9" s="13" t="s">
        <v>235</v>
      </c>
      <c r="D9" s="14" t="s">
        <v>236</v>
      </c>
      <c r="E9" s="12" t="s">
        <v>6</v>
      </c>
      <c r="F9" s="12" t="s">
        <v>14</v>
      </c>
      <c r="G9" s="20" t="s">
        <v>28</v>
      </c>
      <c r="H9" s="22" t="s">
        <v>237</v>
      </c>
      <c r="K9" s="4" t="str">
        <f>IFERROR(VLOOKUP(CONCATENATE(E9,F9),[3]Ratings!$H$3:$I$27,2,FALSE),)</f>
        <v>Orange</v>
      </c>
    </row>
    <row r="10" spans="2:11" ht="39.75" customHeight="1" x14ac:dyDescent="0.35">
      <c r="B10" s="12" t="str">
        <f>$B$7&amp;"."&amp;[3]Ratings!B27</f>
        <v>2.3</v>
      </c>
      <c r="C10" s="13" t="s">
        <v>358</v>
      </c>
      <c r="D10" s="14" t="s">
        <v>238</v>
      </c>
      <c r="E10" s="12" t="s">
        <v>4</v>
      </c>
      <c r="F10" s="12" t="s">
        <v>14</v>
      </c>
      <c r="G10" s="20" t="s">
        <v>28</v>
      </c>
      <c r="H10" s="22" t="s">
        <v>239</v>
      </c>
      <c r="K10" s="4" t="str">
        <f>IFERROR(VLOOKUP(CONCATENATE(E10,F10),[3]Ratings!$H$3:$I$27,2,FALSE),)</f>
        <v>Orange</v>
      </c>
    </row>
    <row r="11" spans="2:11" x14ac:dyDescent="0.35">
      <c r="B11" s="11">
        <v>3</v>
      </c>
      <c r="C11" s="34" t="s">
        <v>24</v>
      </c>
      <c r="D11" s="35"/>
      <c r="E11" s="35"/>
      <c r="F11" s="35"/>
      <c r="G11" s="35"/>
      <c r="H11" s="36"/>
      <c r="K11" s="4">
        <f>IFERROR(VLOOKUP(CONCATENATE(E11,F11),[3]Ratings!$H$3:$I$27,2,FALSE),)</f>
        <v>0</v>
      </c>
    </row>
    <row r="12" spans="2:11" ht="49.5" customHeight="1" x14ac:dyDescent="0.35">
      <c r="B12" s="12" t="str">
        <f>$B$11&amp;"."&amp;[3]Ratings!B25</f>
        <v>3.1</v>
      </c>
      <c r="C12" s="13" t="s">
        <v>81</v>
      </c>
      <c r="D12" s="14" t="s">
        <v>240</v>
      </c>
      <c r="E12" s="12" t="s">
        <v>4</v>
      </c>
      <c r="F12" s="12" t="s">
        <v>13</v>
      </c>
      <c r="G12" s="20" t="s">
        <v>28</v>
      </c>
      <c r="H12" s="22" t="s">
        <v>353</v>
      </c>
      <c r="K12" s="4" t="str">
        <f>IFERROR(VLOOKUP(CONCATENATE(E12,F12),[3]Ratings!$H$3:$I$27,2,FALSE),)</f>
        <v>Yellow</v>
      </c>
    </row>
    <row r="13" spans="2:11" ht="57" customHeight="1" x14ac:dyDescent="0.35">
      <c r="B13" s="12" t="str">
        <f>$B$11&amp;"."&amp;[3]Ratings!B26</f>
        <v>3.2</v>
      </c>
      <c r="C13" s="13" t="s">
        <v>61</v>
      </c>
      <c r="D13" s="14" t="s">
        <v>241</v>
      </c>
      <c r="E13" s="12" t="s">
        <v>6</v>
      </c>
      <c r="F13" s="12" t="s">
        <v>13</v>
      </c>
      <c r="G13" s="20" t="s">
        <v>28</v>
      </c>
      <c r="H13" s="22" t="s">
        <v>242</v>
      </c>
      <c r="K13" s="4" t="str">
        <f>IFERROR(VLOOKUP(CONCATENATE(E13,F13),[3]Ratings!$H$3:$I$27,2,FALSE),)</f>
        <v>Orange</v>
      </c>
    </row>
    <row r="14" spans="2:11" ht="36.75" customHeight="1" x14ac:dyDescent="0.35">
      <c r="B14" s="12" t="str">
        <f>$B$11&amp;"."&amp;[3]Ratings!B27</f>
        <v>3.3</v>
      </c>
      <c r="C14" s="13" t="s">
        <v>341</v>
      </c>
      <c r="D14" s="14" t="s">
        <v>243</v>
      </c>
      <c r="E14" s="12" t="s">
        <v>4</v>
      </c>
      <c r="F14" s="12" t="s">
        <v>13</v>
      </c>
      <c r="G14" s="20" t="s">
        <v>28</v>
      </c>
      <c r="H14" s="22" t="s">
        <v>354</v>
      </c>
      <c r="K14" s="4" t="str">
        <f>IFERROR(VLOOKUP(CONCATENATE(E14,F14),[3]Ratings!$H$3:$I$27,2,FALSE),)</f>
        <v>Yellow</v>
      </c>
    </row>
    <row r="15" spans="2:11" x14ac:dyDescent="0.35">
      <c r="B15" s="11">
        <v>4</v>
      </c>
      <c r="C15" s="34" t="s">
        <v>25</v>
      </c>
      <c r="D15" s="35"/>
      <c r="E15" s="35"/>
      <c r="F15" s="35"/>
      <c r="G15" s="35"/>
      <c r="H15" s="36"/>
      <c r="K15" s="4">
        <f>IFERROR(VLOOKUP(CONCATENATE(E15,F15),[3]Ratings!$H$3:$I$27,2,FALSE),)</f>
        <v>0</v>
      </c>
    </row>
    <row r="16" spans="2:11" ht="40.5" customHeight="1" x14ac:dyDescent="0.35">
      <c r="B16" s="12" t="str">
        <f>$B$15&amp;"."&amp;[3]Ratings!B25</f>
        <v>4.1</v>
      </c>
      <c r="C16" s="13" t="s">
        <v>82</v>
      </c>
      <c r="D16" s="14" t="s">
        <v>83</v>
      </c>
      <c r="E16" s="12" t="s">
        <v>4</v>
      </c>
      <c r="F16" s="12" t="s">
        <v>13</v>
      </c>
      <c r="G16" s="20" t="s">
        <v>28</v>
      </c>
      <c r="H16" s="22" t="s">
        <v>355</v>
      </c>
      <c r="K16" s="4" t="str">
        <f>IFERROR(VLOOKUP(CONCATENATE(E16,F16),[3]Ratings!$H$3:$I$27,2,FALSE),)</f>
        <v>Yellow</v>
      </c>
    </row>
    <row r="17" spans="2:11" ht="42.75" customHeight="1" x14ac:dyDescent="0.35">
      <c r="B17" s="12" t="str">
        <f>$B$15&amp;"."&amp;[3]Ratings!B26</f>
        <v>4.2</v>
      </c>
      <c r="C17" s="13" t="s">
        <v>357</v>
      </c>
      <c r="D17" s="14" t="s">
        <v>84</v>
      </c>
      <c r="E17" s="12" t="s">
        <v>4</v>
      </c>
      <c r="F17" s="12" t="s">
        <v>14</v>
      </c>
      <c r="G17" s="20" t="s">
        <v>29</v>
      </c>
      <c r="H17" s="22" t="s">
        <v>85</v>
      </c>
      <c r="K17" s="4" t="str">
        <f>IFERROR(VLOOKUP(CONCATENATE(E17,F17),[3]Ratings!$H$3:$I$27,2,FALSE),)</f>
        <v>Orange</v>
      </c>
    </row>
    <row r="18" spans="2:11" ht="26" x14ac:dyDescent="0.35">
      <c r="B18" s="12" t="str">
        <f>$B$15&amp;"."&amp;[3]Ratings!B27</f>
        <v>4.3</v>
      </c>
      <c r="C18" s="13" t="s">
        <v>86</v>
      </c>
      <c r="D18" s="14" t="s">
        <v>87</v>
      </c>
      <c r="E18" s="12" t="s">
        <v>4</v>
      </c>
      <c r="F18" s="12" t="s">
        <v>14</v>
      </c>
      <c r="G18" s="20" t="s">
        <v>28</v>
      </c>
      <c r="H18" s="22" t="s">
        <v>356</v>
      </c>
      <c r="K18" s="4" t="str">
        <f>IFERROR(VLOOKUP(CONCATENATE(E18,F18),[3]Ratings!$H$3:$I$27,2,FALSE),)</f>
        <v>Orange</v>
      </c>
    </row>
  </sheetData>
  <mergeCells count="4">
    <mergeCell ref="C3:H3"/>
    <mergeCell ref="C7:H7"/>
    <mergeCell ref="C11:H11"/>
    <mergeCell ref="C15:H15"/>
  </mergeCells>
  <conditionalFormatting sqref="B2:B17 B19:B1048576">
    <cfRule type="expression" dxfId="238" priority="9">
      <formula>K2="Red"</formula>
    </cfRule>
    <cfRule type="expression" dxfId="237" priority="10">
      <formula>K2="Orange"</formula>
    </cfRule>
    <cfRule type="expression" dxfId="236" priority="11">
      <formula>K2="Yellow"</formula>
    </cfRule>
    <cfRule type="expression" dxfId="235" priority="12">
      <formula>K2="Green"</formula>
    </cfRule>
  </conditionalFormatting>
  <conditionalFormatting sqref="B1">
    <cfRule type="expression" dxfId="234" priority="5">
      <formula>K1="Red"</formula>
    </cfRule>
    <cfRule type="expression" dxfId="233" priority="6">
      <formula>K1="Orange"</formula>
    </cfRule>
    <cfRule type="expression" dxfId="232" priority="7">
      <formula>K1="Yellow"</formula>
    </cfRule>
    <cfRule type="expression" dxfId="231" priority="8">
      <formula>K1="Green"</formula>
    </cfRule>
  </conditionalFormatting>
  <conditionalFormatting sqref="B18">
    <cfRule type="expression" dxfId="230" priority="1">
      <formula>K18="Red"</formula>
    </cfRule>
    <cfRule type="expression" dxfId="229" priority="2">
      <formula>K18="Orange"</formula>
    </cfRule>
    <cfRule type="expression" dxfId="228" priority="3">
      <formula>K18="Yellow"</formula>
    </cfRule>
    <cfRule type="expression" dxfId="227" priority="4">
      <formula>K18="Green"</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17"/>
  <sheetViews>
    <sheetView showGridLines="0" topLeftCell="A2" zoomScale="109" zoomScaleNormal="80" workbookViewId="0">
      <selection activeCell="C4" sqref="C4"/>
    </sheetView>
  </sheetViews>
  <sheetFormatPr defaultColWidth="33.453125" defaultRowHeight="14.5" x14ac:dyDescent="0.35"/>
  <cols>
    <col min="1" max="1" width="2" customWidth="1"/>
    <col min="2" max="2" width="5.1796875" bestFit="1" customWidth="1"/>
    <col min="3" max="3" width="34.1796875" customWidth="1"/>
    <col min="4" max="4" width="49.453125" customWidth="1"/>
    <col min="5" max="5" width="20.7265625" customWidth="1"/>
    <col min="6" max="6" width="19.453125" customWidth="1"/>
    <col min="7" max="7" width="14.7265625" style="21" customWidth="1"/>
    <col min="8" max="8" width="53.54296875" customWidth="1"/>
    <col min="11" max="11" width="4.81640625" customWidth="1"/>
  </cols>
  <sheetData>
    <row r="1" spans="2:11" ht="187.5" customHeight="1" x14ac:dyDescent="0.35"/>
    <row r="2" spans="2:11" x14ac:dyDescent="0.35">
      <c r="B2" s="8" t="s">
        <v>17</v>
      </c>
      <c r="C2" s="9" t="s">
        <v>18</v>
      </c>
      <c r="D2" s="8" t="s">
        <v>26</v>
      </c>
      <c r="E2" s="8" t="s">
        <v>2</v>
      </c>
      <c r="F2" s="8" t="s">
        <v>9</v>
      </c>
      <c r="G2" s="8" t="s">
        <v>27</v>
      </c>
      <c r="H2" s="10" t="s">
        <v>19</v>
      </c>
      <c r="K2" s="3"/>
    </row>
    <row r="3" spans="2:11" x14ac:dyDescent="0.35">
      <c r="B3" s="11">
        <v>1</v>
      </c>
      <c r="C3" s="34" t="s">
        <v>22</v>
      </c>
      <c r="D3" s="35"/>
      <c r="E3" s="35"/>
      <c r="F3" s="35"/>
      <c r="G3" s="35"/>
      <c r="H3" s="36"/>
      <c r="K3" s="4"/>
    </row>
    <row r="4" spans="2:11" ht="52" x14ac:dyDescent="0.35">
      <c r="B4" s="12" t="str">
        <f>$B$3&amp;"."&amp;Ratings!B25</f>
        <v>1.1</v>
      </c>
      <c r="C4" s="13" t="s">
        <v>244</v>
      </c>
      <c r="D4" s="14" t="s">
        <v>245</v>
      </c>
      <c r="E4" s="12" t="s">
        <v>4</v>
      </c>
      <c r="F4" s="12" t="s">
        <v>13</v>
      </c>
      <c r="G4" s="20" t="s">
        <v>29</v>
      </c>
      <c r="H4" s="14" t="s">
        <v>246</v>
      </c>
      <c r="K4" s="4" t="str">
        <f>IFERROR(VLOOKUP(CONCATENATE(E4,F4),Ratings!$H$3:$I$27,2,FALSE),)</f>
        <v>Yellow</v>
      </c>
    </row>
    <row r="5" spans="2:11" ht="39" x14ac:dyDescent="0.35">
      <c r="B5" s="12" t="str">
        <f>$B$3&amp;"."&amp;Ratings!B26</f>
        <v>1.2</v>
      </c>
      <c r="C5" s="13" t="s">
        <v>101</v>
      </c>
      <c r="D5" s="14" t="s">
        <v>247</v>
      </c>
      <c r="E5" s="12" t="s">
        <v>4</v>
      </c>
      <c r="F5" s="12" t="s">
        <v>13</v>
      </c>
      <c r="G5" s="20" t="s">
        <v>28</v>
      </c>
      <c r="H5" s="14" t="s">
        <v>248</v>
      </c>
      <c r="K5" s="4" t="str">
        <f>IFERROR(VLOOKUP(CONCATENATE(E5,F5),Ratings!$H$3:$I$27,2,FALSE),)</f>
        <v>Yellow</v>
      </c>
    </row>
    <row r="6" spans="2:11" ht="26" x14ac:dyDescent="0.35">
      <c r="B6" s="12" t="str">
        <f>$B$3&amp;"."&amp;Ratings!B27</f>
        <v>1.3</v>
      </c>
      <c r="C6" s="13" t="s">
        <v>206</v>
      </c>
      <c r="D6" s="14" t="s">
        <v>249</v>
      </c>
      <c r="E6" s="12" t="s">
        <v>4</v>
      </c>
      <c r="F6" s="12" t="s">
        <v>13</v>
      </c>
      <c r="G6" s="20" t="s">
        <v>28</v>
      </c>
      <c r="H6" s="14" t="s">
        <v>250</v>
      </c>
      <c r="K6" s="4" t="str">
        <f>IFERROR(VLOOKUP(CONCATENATE(E6,F6),Ratings!$H$3:$I$27,2,FALSE),)</f>
        <v>Yellow</v>
      </c>
    </row>
    <row r="7" spans="2:11" ht="52" x14ac:dyDescent="0.35">
      <c r="B7" s="12" t="str">
        <f>$B$3&amp;"."&amp;Ratings!B28</f>
        <v>1.4</v>
      </c>
      <c r="C7" s="13" t="s">
        <v>97</v>
      </c>
      <c r="D7" s="14" t="s">
        <v>251</v>
      </c>
      <c r="E7" s="12" t="s">
        <v>6</v>
      </c>
      <c r="F7" s="12" t="s">
        <v>13</v>
      </c>
      <c r="G7" s="20" t="s">
        <v>28</v>
      </c>
      <c r="H7" s="14" t="s">
        <v>252</v>
      </c>
      <c r="K7" s="4" t="str">
        <f>IFERROR(VLOOKUP(CONCATENATE(E7,F7),Ratings!$H$3:$I$27,2,FALSE),)</f>
        <v>Orange</v>
      </c>
    </row>
    <row r="8" spans="2:11" ht="114" customHeight="1" x14ac:dyDescent="0.35">
      <c r="B8" s="12" t="str">
        <f>$B$3&amp;"."&amp;Ratings!B29</f>
        <v>1.5</v>
      </c>
      <c r="C8" s="13" t="s">
        <v>253</v>
      </c>
      <c r="D8" s="33" t="s">
        <v>436</v>
      </c>
      <c r="E8" s="12" t="s">
        <v>7</v>
      </c>
      <c r="F8" s="12" t="s">
        <v>13</v>
      </c>
      <c r="G8" s="20" t="s">
        <v>28</v>
      </c>
      <c r="H8" s="14" t="s">
        <v>435</v>
      </c>
      <c r="K8" s="4" t="str">
        <f>IFERROR(VLOOKUP(CONCATENATE(E8,F8),Ratings!$H$3:$I$27,2,FALSE),)</f>
        <v>Orange</v>
      </c>
    </row>
    <row r="9" spans="2:11" x14ac:dyDescent="0.35">
      <c r="B9" s="11">
        <v>2</v>
      </c>
      <c r="C9" s="34" t="s">
        <v>23</v>
      </c>
      <c r="D9" s="35"/>
      <c r="E9" s="35"/>
      <c r="F9" s="35"/>
      <c r="G9" s="35"/>
      <c r="H9" s="36"/>
      <c r="K9" s="4">
        <f>IFERROR(VLOOKUP(CONCATENATE(E9,F9),Ratings!$H$3:$I$27,2,FALSE),)</f>
        <v>0</v>
      </c>
    </row>
    <row r="10" spans="2:11" ht="39" x14ac:dyDescent="0.35">
      <c r="B10" s="12" t="str">
        <f>$B$9&amp;"."&amp;Ratings!B25</f>
        <v>2.1</v>
      </c>
      <c r="C10" s="13" t="s">
        <v>254</v>
      </c>
      <c r="D10" s="14" t="s">
        <v>255</v>
      </c>
      <c r="E10" s="12" t="s">
        <v>4</v>
      </c>
      <c r="F10" s="12" t="s">
        <v>13</v>
      </c>
      <c r="G10" s="20" t="s">
        <v>28</v>
      </c>
      <c r="H10" s="14" t="s">
        <v>256</v>
      </c>
      <c r="K10" s="4" t="str">
        <f>IFERROR(VLOOKUP(CONCATENATE(E10,F10),Ratings!$H$3:$I$27,2,FALSE),)</f>
        <v>Yellow</v>
      </c>
    </row>
    <row r="11" spans="2:11" ht="52" x14ac:dyDescent="0.35">
      <c r="B11" s="12" t="str">
        <f>$B$9&amp;"."&amp;Ratings!B26</f>
        <v>2.2</v>
      </c>
      <c r="C11" s="13" t="s">
        <v>98</v>
      </c>
      <c r="D11" s="14" t="s">
        <v>257</v>
      </c>
      <c r="E11" s="12" t="s">
        <v>4</v>
      </c>
      <c r="F11" s="12" t="s">
        <v>13</v>
      </c>
      <c r="G11" s="20" t="s">
        <v>28</v>
      </c>
      <c r="H11" s="14" t="s">
        <v>252</v>
      </c>
      <c r="K11" s="4" t="str">
        <f>IFERROR(VLOOKUP(CONCATENATE(E11,F11),Ratings!$H$3:$I$27,2,FALSE),)</f>
        <v>Yellow</v>
      </c>
    </row>
    <row r="12" spans="2:11" ht="52" x14ac:dyDescent="0.35">
      <c r="B12" s="12" t="str">
        <f>$B$9&amp;"."&amp;Ratings!B27</f>
        <v>2.3</v>
      </c>
      <c r="C12" s="13" t="s">
        <v>99</v>
      </c>
      <c r="D12" s="14" t="s">
        <v>258</v>
      </c>
      <c r="E12" s="12" t="s">
        <v>4</v>
      </c>
      <c r="F12" s="12" t="s">
        <v>14</v>
      </c>
      <c r="G12" s="20" t="s">
        <v>28</v>
      </c>
      <c r="H12" s="14" t="s">
        <v>259</v>
      </c>
      <c r="K12" s="4" t="str">
        <f>IFERROR(VLOOKUP(CONCATENATE(E12,F12),Ratings!$H$3:$I$27,2,FALSE),)</f>
        <v>Orange</v>
      </c>
    </row>
    <row r="13" spans="2:11" x14ac:dyDescent="0.35">
      <c r="B13" s="11">
        <v>3</v>
      </c>
      <c r="C13" s="34" t="s">
        <v>24</v>
      </c>
      <c r="D13" s="35"/>
      <c r="E13" s="35"/>
      <c r="F13" s="35"/>
      <c r="G13" s="35"/>
      <c r="H13" s="36"/>
      <c r="K13" s="4">
        <f>IFERROR(VLOOKUP(CONCATENATE(E13,F13),Ratings!$H$3:$I$27,2,FALSE),)</f>
        <v>0</v>
      </c>
    </row>
    <row r="14" spans="2:11" ht="102" customHeight="1" x14ac:dyDescent="0.35">
      <c r="B14" s="12" t="str">
        <f>$B$13&amp;"."&amp;Ratings!B25</f>
        <v>3.1</v>
      </c>
      <c r="C14" s="13" t="s">
        <v>260</v>
      </c>
      <c r="D14" s="14" t="s">
        <v>261</v>
      </c>
      <c r="E14" s="12" t="s">
        <v>6</v>
      </c>
      <c r="F14" s="12" t="s">
        <v>13</v>
      </c>
      <c r="G14" s="20" t="s">
        <v>28</v>
      </c>
      <c r="H14" s="14" t="s">
        <v>262</v>
      </c>
      <c r="K14" s="4" t="str">
        <f>IFERROR(VLOOKUP(CONCATENATE(E14,F14),Ratings!$H$3:$I$27,2,FALSE),)</f>
        <v>Orange</v>
      </c>
    </row>
    <row r="15" spans="2:11" x14ac:dyDescent="0.35">
      <c r="B15" s="11">
        <v>4</v>
      </c>
      <c r="C15" s="34" t="s">
        <v>25</v>
      </c>
      <c r="D15" s="35"/>
      <c r="E15" s="35"/>
      <c r="F15" s="35"/>
      <c r="G15" s="35"/>
      <c r="H15" s="36"/>
      <c r="K15" s="4">
        <f>IFERROR(VLOOKUP(CONCATENATE(E15,F15),Ratings!$H$3:$I$27,2,FALSE),)</f>
        <v>0</v>
      </c>
    </row>
    <row r="16" spans="2:11" ht="26" x14ac:dyDescent="0.35">
      <c r="B16" s="12" t="str">
        <f>$B$15&amp;"."&amp;Ratings!B25</f>
        <v>4.1</v>
      </c>
      <c r="C16" s="13" t="s">
        <v>100</v>
      </c>
      <c r="D16" s="14" t="s">
        <v>263</v>
      </c>
      <c r="E16" s="12" t="s">
        <v>4</v>
      </c>
      <c r="F16" s="12" t="s">
        <v>13</v>
      </c>
      <c r="G16" s="20" t="s">
        <v>28</v>
      </c>
      <c r="H16" s="14" t="s">
        <v>264</v>
      </c>
      <c r="K16" s="4" t="str">
        <f>IFERROR(VLOOKUP(CONCATENATE(E16,F16),Ratings!$H$3:$I$27,2,FALSE),)</f>
        <v>Yellow</v>
      </c>
    </row>
    <row r="17" spans="2:11" ht="26" x14ac:dyDescent="0.35">
      <c r="B17" s="12" t="str">
        <f>$B$15&amp;"."&amp;Ratings!B26</f>
        <v>4.2</v>
      </c>
      <c r="C17" s="13" t="s">
        <v>265</v>
      </c>
      <c r="D17" s="14" t="s">
        <v>266</v>
      </c>
      <c r="E17" s="12" t="s">
        <v>4</v>
      </c>
      <c r="F17" s="12" t="s">
        <v>14</v>
      </c>
      <c r="G17" s="20" t="s">
        <v>28</v>
      </c>
      <c r="H17" s="14" t="s">
        <v>267</v>
      </c>
      <c r="K17" s="4" t="str">
        <f>IFERROR(VLOOKUP(CONCATENATE(E17,F17),Ratings!$H$3:$I$27,2,FALSE),)</f>
        <v>Orange</v>
      </c>
    </row>
  </sheetData>
  <mergeCells count="4">
    <mergeCell ref="C3:H3"/>
    <mergeCell ref="C9:H9"/>
    <mergeCell ref="C13:H13"/>
    <mergeCell ref="C15:H15"/>
  </mergeCells>
  <conditionalFormatting sqref="B2:B7 B9:B1048576">
    <cfRule type="expression" dxfId="207" priority="56">
      <formula>K2="Red"</formula>
    </cfRule>
    <cfRule type="expression" dxfId="206" priority="57">
      <formula>K2="Orange"</formula>
    </cfRule>
    <cfRule type="expression" dxfId="205" priority="58">
      <formula>K2="Yellow"</formula>
    </cfRule>
    <cfRule type="expression" dxfId="204" priority="59">
      <formula>K2="Green"</formula>
    </cfRule>
  </conditionalFormatting>
  <conditionalFormatting sqref="B1">
    <cfRule type="expression" dxfId="203" priority="37">
      <formula>K1="Red"</formula>
    </cfRule>
    <cfRule type="expression" dxfId="202" priority="38">
      <formula>K1="Orange"</formula>
    </cfRule>
    <cfRule type="expression" dxfId="201" priority="39">
      <formula>K1="Yellow"</formula>
    </cfRule>
    <cfRule type="expression" dxfId="200" priority="40">
      <formula>K1="Green"</formula>
    </cfRule>
  </conditionalFormatting>
  <conditionalFormatting sqref="B8">
    <cfRule type="expression" dxfId="199" priority="5">
      <formula>K8="Red"</formula>
    </cfRule>
    <cfRule type="expression" dxfId="198" priority="6">
      <formula>K8="Orange"</formula>
    </cfRule>
    <cfRule type="expression" dxfId="197" priority="7">
      <formula>K8="Yellow"</formula>
    </cfRule>
    <cfRule type="expression" dxfId="196" priority="8">
      <formula>K8="Green"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65" operator="equal" id="{758364D4-2555-4E7F-A773-BCDBF91BA160}">
            <xm:f>Ratings!$B$9</xm:f>
            <x14:dxf>
              <fill>
                <patternFill>
                  <bgColor rgb="FFFF0000"/>
                </patternFill>
              </fill>
            </x14:dxf>
          </x14:cfRule>
          <x14:cfRule type="cellIs" priority="66" operator="equal" id="{B6F1F775-24D8-4ABC-98AF-72C2097D3791}">
            <xm:f>Ratings!$B$8</xm:f>
            <x14:dxf>
              <fill>
                <patternFill>
                  <bgColor theme="5" tint="0.39994506668294322"/>
                </patternFill>
              </fill>
            </x14:dxf>
          </x14:cfRule>
          <x14:cfRule type="cellIs" priority="67" operator="equal" id="{B963CF4F-0385-476C-9841-39D57B1BF638}">
            <xm:f>Ratings!$B$7</xm:f>
            <x14:dxf>
              <fill>
                <patternFill>
                  <bgColor theme="7" tint="0.39994506668294322"/>
                </patternFill>
              </fill>
            </x14:dxf>
          </x14:cfRule>
          <x14:cfRule type="cellIs" priority="68" operator="equal" id="{A4D81E57-C139-4764-82F9-527B0B7733B4}">
            <xm:f>Ratings!$B$6</xm:f>
            <x14:dxf>
              <fill>
                <patternFill>
                  <bgColor theme="9" tint="0.39994506668294322"/>
                </patternFill>
              </fill>
            </x14:dxf>
          </x14:cfRule>
          <x14:cfRule type="cellIs" priority="69" operator="equal" id="{DFD71A94-69B0-43B9-A29A-C0754F812271}">
            <xm:f>Ratings!$B$5</xm:f>
            <x14:dxf>
              <fill>
                <patternFill>
                  <bgColor rgb="FF92D050"/>
                </patternFill>
              </fill>
            </x14:dxf>
          </x14:cfRule>
          <xm:sqref>E2:E7 E9:E1048576</xm:sqref>
        </x14:conditionalFormatting>
        <x14:conditionalFormatting xmlns:xm="http://schemas.microsoft.com/office/excel/2006/main">
          <x14:cfRule type="cellIs" priority="60" operator="equal" id="{62FBBF0F-955B-4416-A727-0A8F01AF90FD}">
            <xm:f>Ratings!$B$16</xm:f>
            <x14:dxf>
              <fill>
                <patternFill>
                  <bgColor rgb="FFFF0000"/>
                </patternFill>
              </fill>
            </x14:dxf>
          </x14:cfRule>
          <x14:cfRule type="cellIs" priority="61" operator="equal" id="{FA53C1E8-65E4-48A3-A830-F66F3AD40D66}">
            <xm:f>Ratings!$B$15</xm:f>
            <x14:dxf>
              <fill>
                <patternFill>
                  <bgColor theme="5" tint="0.39994506668294322"/>
                </patternFill>
              </fill>
            </x14:dxf>
          </x14:cfRule>
          <x14:cfRule type="cellIs" priority="62" operator="equal" id="{00CF3906-9902-4136-B460-6B78900BAEA2}">
            <xm:f>Ratings!$B$14</xm:f>
            <x14:dxf>
              <fill>
                <patternFill>
                  <bgColor theme="7" tint="0.39994506668294322"/>
                </patternFill>
              </fill>
            </x14:dxf>
          </x14:cfRule>
          <x14:cfRule type="cellIs" priority="63" operator="equal" id="{767CD0F7-454A-454B-8E57-B3038426DA29}">
            <xm:f>Ratings!$B$13</xm:f>
            <x14:dxf>
              <fill>
                <patternFill>
                  <bgColor theme="9" tint="0.39994506668294322"/>
                </patternFill>
              </fill>
            </x14:dxf>
          </x14:cfRule>
          <x14:cfRule type="cellIs" priority="64" operator="equal" id="{E45B6D69-CF6C-43E7-8E12-A28FDB0D8380}">
            <xm:f>Ratings!$B$12</xm:f>
            <x14:dxf>
              <fill>
                <patternFill>
                  <bgColor rgb="FF92D050"/>
                </patternFill>
              </fill>
            </x14:dxf>
          </x14:cfRule>
          <xm:sqref>F2:F7 F9:F1048576</xm:sqref>
        </x14:conditionalFormatting>
        <x14:conditionalFormatting xmlns:xm="http://schemas.microsoft.com/office/excel/2006/main">
          <x14:cfRule type="cellIs" priority="51" operator="equal" id="{5DC254F7-11D7-415D-9CC6-B41B8D77900A}">
            <xm:f>'\Users\w.dol\Downloads\[PoD Country Risk Assessment - Iraq.xlsx]Ratings'!#REF!</xm:f>
            <x14:dxf>
              <fill>
                <patternFill>
                  <bgColor rgb="FFFF0000"/>
                </patternFill>
              </fill>
            </x14:dxf>
          </x14:cfRule>
          <x14:cfRule type="cellIs" priority="52" operator="equal" id="{A2C2CF92-F9E8-410D-B336-7E9EA11E9385}">
            <xm:f>'\Users\w.dol\Downloads\[PoD Country Risk Assessment - Iraq.xlsx]Ratings'!#REF!</xm:f>
            <x14:dxf>
              <fill>
                <patternFill>
                  <bgColor theme="5" tint="0.39994506668294322"/>
                </patternFill>
              </fill>
            </x14:dxf>
          </x14:cfRule>
          <x14:cfRule type="cellIs" priority="53" operator="equal" id="{D5D386DE-D909-40B4-A421-E5E5D71C94CA}">
            <xm:f>'\Users\w.dol\Downloads\[PoD Country Risk Assessment - Iraq.xlsx]Ratings'!#REF!</xm:f>
            <x14:dxf>
              <fill>
                <patternFill>
                  <bgColor theme="7" tint="0.39994506668294322"/>
                </patternFill>
              </fill>
            </x14:dxf>
          </x14:cfRule>
          <x14:cfRule type="cellIs" priority="54" operator="equal" id="{8B53FC80-9CDD-4D86-9D89-20CF98F5D08E}">
            <xm:f>'\Users\w.dol\Downloads\[PoD Country Risk Assessment - Iraq.xlsx]Ratings'!#REF!</xm:f>
            <x14:dxf>
              <fill>
                <patternFill>
                  <bgColor theme="9" tint="0.39994506668294322"/>
                </patternFill>
              </fill>
            </x14:dxf>
          </x14:cfRule>
          <x14:cfRule type="cellIs" priority="55" operator="equal" id="{E414974B-1BD8-43AD-A727-31E713D59023}">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46" operator="equal" id="{4F05D8E2-60AA-4E28-8C72-706DBF7E1042}">
            <xm:f>Ratings!$B$9</xm:f>
            <x14:dxf>
              <fill>
                <patternFill>
                  <bgColor rgb="FFFF0000"/>
                </patternFill>
              </fill>
            </x14:dxf>
          </x14:cfRule>
          <x14:cfRule type="cellIs" priority="47" operator="equal" id="{73F3AAA7-AD48-4007-9C3E-E8D980AD6C3E}">
            <xm:f>Ratings!$B$8</xm:f>
            <x14:dxf>
              <fill>
                <patternFill>
                  <bgColor theme="5" tint="0.39994506668294322"/>
                </patternFill>
              </fill>
            </x14:dxf>
          </x14:cfRule>
          <x14:cfRule type="cellIs" priority="48" operator="equal" id="{E4402AF4-46C0-414D-9307-C2E61ED92EE4}">
            <xm:f>Ratings!$B$7</xm:f>
            <x14:dxf>
              <fill>
                <patternFill>
                  <bgColor theme="7" tint="0.39994506668294322"/>
                </patternFill>
              </fill>
            </x14:dxf>
          </x14:cfRule>
          <x14:cfRule type="cellIs" priority="49" operator="equal" id="{D929D50B-38D8-4023-BA3D-54CA94A7A893}">
            <xm:f>Ratings!$B$6</xm:f>
            <x14:dxf>
              <fill>
                <patternFill>
                  <bgColor theme="9" tint="0.39994506668294322"/>
                </patternFill>
              </fill>
            </x14:dxf>
          </x14:cfRule>
          <x14:cfRule type="cellIs" priority="50" operator="equal" id="{255AD10F-FC6E-4F20-BDDC-DEED992322BC}">
            <xm:f>Ratings!$B$5</xm:f>
            <x14:dxf>
              <fill>
                <patternFill>
                  <bgColor rgb="FF92D050"/>
                </patternFill>
              </fill>
            </x14:dxf>
          </x14:cfRule>
          <xm:sqref>E1</xm:sqref>
        </x14:conditionalFormatting>
        <x14:conditionalFormatting xmlns:xm="http://schemas.microsoft.com/office/excel/2006/main">
          <x14:cfRule type="cellIs" priority="41" operator="equal" id="{DFA28438-1299-41B9-ADF6-D4514DD11CBD}">
            <xm:f>Ratings!$B$16</xm:f>
            <x14:dxf>
              <fill>
                <patternFill>
                  <bgColor rgb="FFFF0000"/>
                </patternFill>
              </fill>
            </x14:dxf>
          </x14:cfRule>
          <x14:cfRule type="cellIs" priority="42" operator="equal" id="{EAA39786-96EF-4F61-BEE5-6F4510C98FED}">
            <xm:f>Ratings!$B$15</xm:f>
            <x14:dxf>
              <fill>
                <patternFill>
                  <bgColor theme="5" tint="0.39994506668294322"/>
                </patternFill>
              </fill>
            </x14:dxf>
          </x14:cfRule>
          <x14:cfRule type="cellIs" priority="43" operator="equal" id="{00127C87-FEF4-4665-AD72-B7E117903B70}">
            <xm:f>Ratings!$B$14</xm:f>
            <x14:dxf>
              <fill>
                <patternFill>
                  <bgColor theme="7" tint="0.39994506668294322"/>
                </patternFill>
              </fill>
            </x14:dxf>
          </x14:cfRule>
          <x14:cfRule type="cellIs" priority="44" operator="equal" id="{AFEF1603-034F-4243-A7C9-3BDA7EA49822}">
            <xm:f>Ratings!$B$13</xm:f>
            <x14:dxf>
              <fill>
                <patternFill>
                  <bgColor theme="9" tint="0.39994506668294322"/>
                </patternFill>
              </fill>
            </x14:dxf>
          </x14:cfRule>
          <x14:cfRule type="cellIs" priority="45" operator="equal" id="{29D48435-00F1-4D74-961C-DE5DB4831EF6}">
            <xm:f>Ratings!$B$12</xm:f>
            <x14:dxf>
              <fill>
                <patternFill>
                  <bgColor rgb="FF92D050"/>
                </patternFill>
              </fill>
            </x14:dxf>
          </x14:cfRule>
          <xm:sqref>F1</xm:sqref>
        </x14:conditionalFormatting>
        <x14:conditionalFormatting xmlns:xm="http://schemas.microsoft.com/office/excel/2006/main">
          <x14:cfRule type="cellIs" priority="18" operator="equal" id="{2BE147A0-AB4C-458C-ACA3-F8E6979BC243}">
            <xm:f>Ratings!$B$9</xm:f>
            <x14:dxf>
              <fill>
                <patternFill>
                  <bgColor rgb="FFFF0000"/>
                </patternFill>
              </fill>
            </x14:dxf>
          </x14:cfRule>
          <x14:cfRule type="cellIs" priority="19" operator="equal" id="{34ADF6E4-5C8E-462F-A875-ADAB4526C9F3}">
            <xm:f>Ratings!$B$8</xm:f>
            <x14:dxf>
              <fill>
                <patternFill>
                  <bgColor theme="5" tint="0.39994506668294322"/>
                </patternFill>
              </fill>
            </x14:dxf>
          </x14:cfRule>
          <x14:cfRule type="cellIs" priority="20" operator="equal" id="{114A6DFF-EBE1-44F9-A4CF-DDAB98812E1A}">
            <xm:f>Ratings!$B$7</xm:f>
            <x14:dxf>
              <fill>
                <patternFill>
                  <bgColor theme="7" tint="0.39994506668294322"/>
                </patternFill>
              </fill>
            </x14:dxf>
          </x14:cfRule>
          <x14:cfRule type="cellIs" priority="21" operator="equal" id="{8AC82AE3-4A6A-448F-B2BC-1D898A9DBD87}">
            <xm:f>Ratings!$B$6</xm:f>
            <x14:dxf>
              <fill>
                <patternFill>
                  <bgColor theme="9" tint="0.39994506668294322"/>
                </patternFill>
              </fill>
            </x14:dxf>
          </x14:cfRule>
          <x14:cfRule type="cellIs" priority="22" operator="equal" id="{4F1C5DDF-094D-4C37-8977-70908E93E0CE}">
            <xm:f>Ratings!$B$5</xm:f>
            <x14:dxf>
              <fill>
                <patternFill>
                  <bgColor rgb="FF92D050"/>
                </patternFill>
              </fill>
            </x14:dxf>
          </x14:cfRule>
          <xm:sqref>E8</xm:sqref>
        </x14:conditionalFormatting>
        <x14:conditionalFormatting xmlns:xm="http://schemas.microsoft.com/office/excel/2006/main">
          <x14:cfRule type="cellIs" priority="13" operator="equal" id="{DAA90262-1BAD-4D9C-B13A-537C240B5A67}">
            <xm:f>Ratings!$B$16</xm:f>
            <x14:dxf>
              <fill>
                <patternFill>
                  <bgColor rgb="FFFF0000"/>
                </patternFill>
              </fill>
            </x14:dxf>
          </x14:cfRule>
          <x14:cfRule type="cellIs" priority="14" operator="equal" id="{BC3F8145-FD6F-4611-ACCB-2DA8B57500A8}">
            <xm:f>Ratings!$B$15</xm:f>
            <x14:dxf>
              <fill>
                <patternFill>
                  <bgColor theme="5" tint="0.39994506668294322"/>
                </patternFill>
              </fill>
            </x14:dxf>
          </x14:cfRule>
          <x14:cfRule type="cellIs" priority="15" operator="equal" id="{A4AD2D17-DEAB-4946-8197-42937BBF493A}">
            <xm:f>Ratings!$B$14</xm:f>
            <x14:dxf>
              <fill>
                <patternFill>
                  <bgColor theme="7" tint="0.39994506668294322"/>
                </patternFill>
              </fill>
            </x14:dxf>
          </x14:cfRule>
          <x14:cfRule type="cellIs" priority="16" operator="equal" id="{652205D3-40EE-48C9-92C1-92AA279D4943}">
            <xm:f>Ratings!$B$13</xm:f>
            <x14:dxf>
              <fill>
                <patternFill>
                  <bgColor theme="9" tint="0.39994506668294322"/>
                </patternFill>
              </fill>
            </x14:dxf>
          </x14:cfRule>
          <x14:cfRule type="cellIs" priority="17" operator="equal" id="{54CCB8CC-E139-41EA-A0F5-BC9AC8BDCFFC}">
            <xm:f>Ratings!$B$12</xm:f>
            <x14:dxf>
              <fill>
                <patternFill>
                  <bgColor rgb="FF92D050"/>
                </patternFill>
              </fill>
            </x14:dxf>
          </x14:cfRule>
          <xm:sqref>F8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Ratings!$B$5:$B$9</xm:f>
          </x14:formula1>
          <xm:sqref>E14 E16:E17 E10:E12 E4:E8</xm:sqref>
        </x14:dataValidation>
        <x14:dataValidation type="list" allowBlank="1" showInputMessage="1" showErrorMessage="1" xr:uid="{00000000-0002-0000-0600-000001000000}">
          <x14:formula1>
            <xm:f>Ratings!$B$12:$B$16</xm:f>
          </x14:formula1>
          <xm:sqref>F14 F16:F17 F10:F12 F4:F8</xm:sqref>
        </x14:dataValidation>
        <x14:dataValidation type="list" allowBlank="1" showInputMessage="1" showErrorMessage="1" xr:uid="{00000000-0002-0000-0600-000002000000}">
          <x14:formula1>
            <xm:f>Ratings!$B$19:$B$22</xm:f>
          </x14:formula1>
          <xm:sqref>G16:G17 G10:G12 G14 G4:G8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F371D-E930-4ACD-AB77-56FE36445219}">
  <dimension ref="B1:K16"/>
  <sheetViews>
    <sheetView showGridLines="0" zoomScale="70" zoomScaleNormal="70" workbookViewId="0">
      <selection activeCell="D33" sqref="D33"/>
    </sheetView>
  </sheetViews>
  <sheetFormatPr defaultColWidth="33.453125" defaultRowHeight="14.5" x14ac:dyDescent="0.35"/>
  <cols>
    <col min="1" max="1" width="2" customWidth="1"/>
    <col min="2" max="2" width="5.1796875" bestFit="1" customWidth="1"/>
    <col min="3" max="3" width="34.1796875" customWidth="1"/>
    <col min="4" max="4" width="57.7265625" style="24" customWidth="1"/>
    <col min="5" max="5" width="20.7265625" customWidth="1"/>
    <col min="6" max="6" width="19.453125" customWidth="1"/>
    <col min="7" max="7" width="14.7265625" style="21" customWidth="1"/>
    <col min="8" max="8" width="48.81640625" style="24" customWidth="1"/>
    <col min="11" max="11" width="4.81640625" customWidth="1"/>
  </cols>
  <sheetData>
    <row r="1" spans="2:11" ht="187.5" customHeight="1" x14ac:dyDescent="0.35"/>
    <row r="2" spans="2:11" x14ac:dyDescent="0.35">
      <c r="B2" s="8" t="s">
        <v>17</v>
      </c>
      <c r="C2" s="8" t="s">
        <v>18</v>
      </c>
      <c r="D2" s="23" t="s">
        <v>26</v>
      </c>
      <c r="E2" s="8" t="s">
        <v>2</v>
      </c>
      <c r="F2" s="8" t="s">
        <v>9</v>
      </c>
      <c r="G2" s="8" t="s">
        <v>27</v>
      </c>
      <c r="H2" s="28" t="s">
        <v>19</v>
      </c>
      <c r="K2" s="3"/>
    </row>
    <row r="3" spans="2:11" x14ac:dyDescent="0.35">
      <c r="B3" s="11">
        <v>1</v>
      </c>
      <c r="C3" s="34" t="s">
        <v>22</v>
      </c>
      <c r="D3" s="35"/>
      <c r="E3" s="35"/>
      <c r="F3" s="35"/>
      <c r="G3" s="35"/>
      <c r="H3" s="36"/>
      <c r="K3" s="4"/>
    </row>
    <row r="4" spans="2:11" ht="94.5" customHeight="1" x14ac:dyDescent="0.35">
      <c r="B4" s="12" t="str">
        <f>$B$3&amp;"."&amp;[4]Ratings!B25</f>
        <v>1.1</v>
      </c>
      <c r="C4" s="13" t="s">
        <v>345</v>
      </c>
      <c r="D4" s="22" t="s">
        <v>438</v>
      </c>
      <c r="E4" s="12" t="s">
        <v>6</v>
      </c>
      <c r="F4" s="12" t="s">
        <v>12</v>
      </c>
      <c r="G4" s="20" t="s">
        <v>30</v>
      </c>
      <c r="H4" s="22" t="s">
        <v>439</v>
      </c>
      <c r="K4" s="4" t="str">
        <f>IFERROR(VLOOKUP(CONCATENATE(E4,F4),[4]Ratings!$H$3:$I$27,2,FALSE),)</f>
        <v>Yellow</v>
      </c>
    </row>
    <row r="5" spans="2:11" ht="47.25" customHeight="1" x14ac:dyDescent="0.35">
      <c r="B5" s="12" t="str">
        <f>$B$3&amp;"."&amp;[4]Ratings!B26</f>
        <v>1.2</v>
      </c>
      <c r="C5" s="13" t="s">
        <v>346</v>
      </c>
      <c r="D5" s="22" t="s">
        <v>268</v>
      </c>
      <c r="E5" s="12" t="s">
        <v>4</v>
      </c>
      <c r="F5" s="12" t="s">
        <v>13</v>
      </c>
      <c r="G5" s="20" t="s">
        <v>30</v>
      </c>
      <c r="H5" s="22" t="s">
        <v>441</v>
      </c>
      <c r="K5" s="4" t="str">
        <f>IFERROR(VLOOKUP(CONCATENATE(E5,F5),[4]Ratings!$H$3:$I$27,2,FALSE),)</f>
        <v>Yellow</v>
      </c>
    </row>
    <row r="6" spans="2:11" ht="100.5" customHeight="1" x14ac:dyDescent="0.35">
      <c r="B6" s="12" t="str">
        <f>$B$3&amp;"."&amp;[4]Ratings!B27</f>
        <v>1.3</v>
      </c>
      <c r="C6" s="13" t="s">
        <v>347</v>
      </c>
      <c r="D6" s="22" t="s">
        <v>443</v>
      </c>
      <c r="E6" s="12" t="s">
        <v>4</v>
      </c>
      <c r="F6" s="12" t="s">
        <v>13</v>
      </c>
      <c r="G6" s="20" t="s">
        <v>28</v>
      </c>
      <c r="H6" s="22" t="s">
        <v>444</v>
      </c>
      <c r="K6" s="4" t="str">
        <f>IFERROR(VLOOKUP(CONCATENATE(E6,F6),[4]Ratings!$H$3:$I$27,2,FALSE),)</f>
        <v>Yellow</v>
      </c>
    </row>
    <row r="7" spans="2:11" ht="67.5" customHeight="1" x14ac:dyDescent="0.35">
      <c r="B7" s="12" t="str">
        <f>$B$3&amp;"."&amp;[4]Ratings!B28</f>
        <v>1.4</v>
      </c>
      <c r="C7" s="13" t="s">
        <v>349</v>
      </c>
      <c r="D7" s="22" t="s">
        <v>348</v>
      </c>
      <c r="E7" s="12" t="s">
        <v>6</v>
      </c>
      <c r="F7" s="12" t="s">
        <v>13</v>
      </c>
      <c r="G7" s="20" t="s">
        <v>28</v>
      </c>
      <c r="H7" s="22" t="s">
        <v>269</v>
      </c>
      <c r="K7" s="4" t="str">
        <f>IFERROR(VLOOKUP(CONCATENATE(E7,F7),[4]Ratings!$H$3:$I$27,2,FALSE),)</f>
        <v>Orange</v>
      </c>
    </row>
    <row r="8" spans="2:11" x14ac:dyDescent="0.35">
      <c r="B8" s="11">
        <v>2</v>
      </c>
      <c r="C8" s="34" t="s">
        <v>23</v>
      </c>
      <c r="D8" s="35"/>
      <c r="E8" s="35"/>
      <c r="F8" s="35"/>
      <c r="G8" s="35"/>
      <c r="H8" s="36"/>
      <c r="K8" s="4">
        <f>IFERROR(VLOOKUP(CONCATENATE(E8,F8),[4]Ratings!$H$3:$I$27,2,FALSE),)</f>
        <v>0</v>
      </c>
    </row>
    <row r="9" spans="2:11" ht="72" customHeight="1" x14ac:dyDescent="0.35">
      <c r="B9" s="12" t="str">
        <f>$B$8&amp;"."&amp;[4]Ratings!B25</f>
        <v>2.1</v>
      </c>
      <c r="C9" s="13" t="s">
        <v>350</v>
      </c>
      <c r="D9" s="22" t="s">
        <v>270</v>
      </c>
      <c r="E9" s="12" t="s">
        <v>4</v>
      </c>
      <c r="F9" s="12" t="s">
        <v>13</v>
      </c>
      <c r="G9" s="20" t="s">
        <v>28</v>
      </c>
      <c r="H9" s="22" t="s">
        <v>271</v>
      </c>
      <c r="K9" s="4" t="str">
        <f>IFERROR(VLOOKUP(CONCATENATE(E9,F9),[4]Ratings!$H$3:$I$27,2,FALSE),)</f>
        <v>Yellow</v>
      </c>
    </row>
    <row r="10" spans="2:11" x14ac:dyDescent="0.35">
      <c r="B10" s="11">
        <v>3</v>
      </c>
      <c r="C10" s="34" t="s">
        <v>24</v>
      </c>
      <c r="D10" s="35"/>
      <c r="E10" s="35"/>
      <c r="F10" s="35"/>
      <c r="G10" s="35"/>
      <c r="H10" s="36"/>
      <c r="K10" s="4">
        <f>IFERROR(VLOOKUP(CONCATENATE(E10,F10),[4]Ratings!$H$3:$I$27,2,FALSE),)</f>
        <v>0</v>
      </c>
    </row>
    <row r="11" spans="2:11" ht="102" customHeight="1" x14ac:dyDescent="0.35">
      <c r="B11" s="12">
        <v>3.1</v>
      </c>
      <c r="C11" s="13" t="s">
        <v>351</v>
      </c>
      <c r="D11" s="14" t="s">
        <v>352</v>
      </c>
      <c r="E11" s="12" t="s">
        <v>4</v>
      </c>
      <c r="F11" s="12" t="s">
        <v>13</v>
      </c>
      <c r="G11" s="20" t="s">
        <v>28</v>
      </c>
      <c r="H11" s="14" t="s">
        <v>447</v>
      </c>
      <c r="K11" s="4" t="str">
        <f>IFERROR(VLOOKUP(CONCATENATE(E11,F11),[4]Ratings!$H$3:$I$27,2,FALSE),)</f>
        <v>Yellow</v>
      </c>
    </row>
    <row r="12" spans="2:11" ht="39" x14ac:dyDescent="0.35">
      <c r="B12" s="12">
        <v>3.2</v>
      </c>
      <c r="C12" s="13" t="s">
        <v>341</v>
      </c>
      <c r="D12" s="14" t="s">
        <v>125</v>
      </c>
      <c r="E12" s="12" t="s">
        <v>4</v>
      </c>
      <c r="F12" s="12" t="s">
        <v>13</v>
      </c>
      <c r="G12" s="20" t="s">
        <v>29</v>
      </c>
      <c r="H12" s="14" t="s">
        <v>448</v>
      </c>
      <c r="K12" s="4" t="str">
        <f>IFERROR(VLOOKUP(CONCATENATE(E12,F12),[4]Ratings!$H$3:$I$27,2,FALSE),)</f>
        <v>Yellow</v>
      </c>
    </row>
    <row r="13" spans="2:11" x14ac:dyDescent="0.35">
      <c r="B13" s="11">
        <v>4</v>
      </c>
      <c r="C13" s="34" t="s">
        <v>25</v>
      </c>
      <c r="D13" s="35"/>
      <c r="E13" s="35"/>
      <c r="F13" s="35"/>
      <c r="G13" s="35"/>
      <c r="H13" s="36"/>
      <c r="K13" s="4">
        <f>IFERROR(VLOOKUP(CONCATENATE(E13,F13),[4]Ratings!$H$3:$I$27,2,FALSE),)</f>
        <v>0</v>
      </c>
    </row>
    <row r="14" spans="2:11" ht="39" x14ac:dyDescent="0.35">
      <c r="B14" s="12" t="str">
        <f>$B$13&amp;"."&amp;[4]Ratings!B25</f>
        <v>4.1</v>
      </c>
      <c r="C14" s="13" t="s">
        <v>53</v>
      </c>
      <c r="D14" s="22" t="s">
        <v>54</v>
      </c>
      <c r="E14" s="12" t="s">
        <v>4</v>
      </c>
      <c r="F14" s="12" t="s">
        <v>13</v>
      </c>
      <c r="G14" s="20" t="s">
        <v>28</v>
      </c>
      <c r="H14" s="22" t="s">
        <v>450</v>
      </c>
      <c r="K14" s="4" t="str">
        <f>IFERROR(VLOOKUP(CONCATENATE(E14,F14),[4]Ratings!$H$3:$I$27,2,FALSE),)</f>
        <v>Yellow</v>
      </c>
    </row>
    <row r="15" spans="2:11" ht="54" customHeight="1" x14ac:dyDescent="0.35">
      <c r="B15" s="12" t="str">
        <f>$B$13&amp;"."&amp;[4]Ratings!B26</f>
        <v>4.2</v>
      </c>
      <c r="C15" s="13" t="s">
        <v>272</v>
      </c>
      <c r="D15" s="22" t="s">
        <v>55</v>
      </c>
      <c r="E15" s="12" t="s">
        <v>3</v>
      </c>
      <c r="F15" s="12" t="s">
        <v>13</v>
      </c>
      <c r="G15" s="20" t="s">
        <v>28</v>
      </c>
      <c r="H15" s="22" t="s">
        <v>273</v>
      </c>
      <c r="K15" s="4" t="str">
        <f>IFERROR(VLOOKUP(CONCATENATE(E15,F15),[4]Ratings!$H$3:$I$27,2,FALSE),)</f>
        <v>Green</v>
      </c>
    </row>
    <row r="16" spans="2:11" x14ac:dyDescent="0.35">
      <c r="B16" s="12"/>
      <c r="C16" s="13"/>
      <c r="D16" s="22"/>
      <c r="E16" s="12"/>
      <c r="F16" s="12"/>
      <c r="G16" s="20"/>
      <c r="H16" s="22"/>
      <c r="K16" s="4">
        <f>IFERROR(VLOOKUP(CONCATENATE(E16,F16),[4]Ratings!$H$3:$I$27,2,FALSE),)</f>
        <v>0</v>
      </c>
    </row>
  </sheetData>
  <mergeCells count="4">
    <mergeCell ref="C3:H3"/>
    <mergeCell ref="C8:H8"/>
    <mergeCell ref="C10:H10"/>
    <mergeCell ref="C13:H13"/>
  </mergeCells>
  <conditionalFormatting sqref="B2:B10 B13:B15 B17:B1048576">
    <cfRule type="expression" dxfId="140" priority="17">
      <formula>K2="Red"</formula>
    </cfRule>
    <cfRule type="expression" dxfId="139" priority="18">
      <formula>K2="Orange"</formula>
    </cfRule>
    <cfRule type="expression" dxfId="138" priority="19">
      <formula>K2="Yellow"</formula>
    </cfRule>
    <cfRule type="expression" dxfId="137" priority="20">
      <formula>K2="Green"</formula>
    </cfRule>
  </conditionalFormatting>
  <conditionalFormatting sqref="B1">
    <cfRule type="expression" dxfId="136" priority="13">
      <formula>K1="Red"</formula>
    </cfRule>
    <cfRule type="expression" dxfId="135" priority="14">
      <formula>K1="Orange"</formula>
    </cfRule>
    <cfRule type="expression" dxfId="134" priority="15">
      <formula>K1="Yellow"</formula>
    </cfRule>
    <cfRule type="expression" dxfId="133" priority="16">
      <formula>K1="Green"</formula>
    </cfRule>
  </conditionalFormatting>
  <conditionalFormatting sqref="B16">
    <cfRule type="expression" dxfId="132" priority="9">
      <formula>K16="Red"</formula>
    </cfRule>
    <cfRule type="expression" dxfId="131" priority="10">
      <formula>K16="Orange"</formula>
    </cfRule>
    <cfRule type="expression" dxfId="130" priority="11">
      <formula>K16="Yellow"</formula>
    </cfRule>
    <cfRule type="expression" dxfId="129" priority="12">
      <formula>K16="Green"</formula>
    </cfRule>
  </conditionalFormatting>
  <conditionalFormatting sqref="B11">
    <cfRule type="expression" dxfId="128" priority="5">
      <formula>#REF!="Red"</formula>
    </cfRule>
    <cfRule type="expression" dxfId="127" priority="6">
      <formula>#REF!="Orange"</formula>
    </cfRule>
    <cfRule type="expression" dxfId="126" priority="7">
      <formula>#REF!="Yellow"</formula>
    </cfRule>
    <cfRule type="expression" dxfId="125" priority="8">
      <formula>#REF!="Green"</formula>
    </cfRule>
  </conditionalFormatting>
  <conditionalFormatting sqref="B12">
    <cfRule type="expression" dxfId="124" priority="1">
      <formula>#REF!="Red"</formula>
    </cfRule>
    <cfRule type="expression" dxfId="123" priority="2">
      <formula>#REF!="Orange"</formula>
    </cfRule>
    <cfRule type="expression" dxfId="122" priority="3">
      <formula>#REF!="Yellow"</formula>
    </cfRule>
    <cfRule type="expression" dxfId="121" priority="4">
      <formula>#REF!="Green"</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76B90-0FCE-46C4-8479-2191D89EC9DA}">
  <dimension ref="B1:K21"/>
  <sheetViews>
    <sheetView showGridLines="0" topLeftCell="A11" zoomScale="80" zoomScaleNormal="80" workbookViewId="0">
      <selection activeCell="D5" sqref="D5"/>
    </sheetView>
  </sheetViews>
  <sheetFormatPr defaultColWidth="33.453125" defaultRowHeight="14.5" x14ac:dyDescent="0.35"/>
  <cols>
    <col min="1" max="1" width="2" customWidth="1"/>
    <col min="2" max="2" width="5.1796875" bestFit="1" customWidth="1"/>
    <col min="3" max="3" width="34.1796875" style="27" customWidth="1"/>
    <col min="4" max="4" width="52.453125" style="24" customWidth="1"/>
    <col min="5" max="5" width="20.7265625" customWidth="1"/>
    <col min="6" max="6" width="19.453125" customWidth="1"/>
    <col min="7" max="7" width="14.7265625" style="21" customWidth="1"/>
    <col min="8" max="8" width="53.7265625" customWidth="1"/>
    <col min="11" max="11" width="4.81640625" customWidth="1"/>
  </cols>
  <sheetData>
    <row r="1" spans="2:11" ht="187.5" customHeight="1" x14ac:dyDescent="0.35"/>
    <row r="2" spans="2:11" x14ac:dyDescent="0.35">
      <c r="B2" s="8" t="s">
        <v>17</v>
      </c>
      <c r="C2" s="23" t="s">
        <v>18</v>
      </c>
      <c r="D2" s="23" t="s">
        <v>26</v>
      </c>
      <c r="E2" s="8" t="s">
        <v>2</v>
      </c>
      <c r="F2" s="8" t="s">
        <v>9</v>
      </c>
      <c r="G2" s="8" t="s">
        <v>27</v>
      </c>
      <c r="H2" s="10" t="s">
        <v>19</v>
      </c>
      <c r="K2" s="3"/>
    </row>
    <row r="3" spans="2:11" x14ac:dyDescent="0.35">
      <c r="B3" s="11">
        <v>1</v>
      </c>
      <c r="C3" s="34" t="s">
        <v>22</v>
      </c>
      <c r="D3" s="35"/>
      <c r="E3" s="35"/>
      <c r="F3" s="35"/>
      <c r="G3" s="35"/>
      <c r="H3" s="36"/>
      <c r="K3" s="4"/>
    </row>
    <row r="4" spans="2:11" ht="93" customHeight="1" x14ac:dyDescent="0.35">
      <c r="B4" s="12" t="str">
        <f>$B$3&amp;"."&amp;[6]Ratings!B25</f>
        <v>1.1</v>
      </c>
      <c r="C4" s="22" t="s">
        <v>32</v>
      </c>
      <c r="D4" s="22" t="s">
        <v>275</v>
      </c>
      <c r="E4" s="12" t="s">
        <v>6</v>
      </c>
      <c r="F4" s="12" t="s">
        <v>14</v>
      </c>
      <c r="G4" s="20" t="s">
        <v>28</v>
      </c>
      <c r="H4" s="22" t="s">
        <v>276</v>
      </c>
      <c r="K4" s="4" t="str">
        <f>IFERROR(VLOOKUP(CONCATENATE(E4,F4),[6]Ratings!$H$3:$I$27,2,FALSE),)</f>
        <v>Orange</v>
      </c>
    </row>
    <row r="5" spans="2:11" ht="38.25" customHeight="1" x14ac:dyDescent="0.35">
      <c r="B5" s="12" t="str">
        <f>$B$3&amp;"."&amp;[6]Ratings!B26</f>
        <v>1.2</v>
      </c>
      <c r="C5" s="22" t="s">
        <v>33</v>
      </c>
      <c r="D5" s="22" t="s">
        <v>34</v>
      </c>
      <c r="E5" s="12" t="s">
        <v>4</v>
      </c>
      <c r="F5" s="12" t="s">
        <v>13</v>
      </c>
      <c r="G5" s="20" t="s">
        <v>28</v>
      </c>
      <c r="H5" s="22" t="s">
        <v>277</v>
      </c>
      <c r="K5" s="4" t="str">
        <f>IFERROR(VLOOKUP(CONCATENATE(E5,F5),[6]Ratings!$H$3:$I$27,2,FALSE),)</f>
        <v>Yellow</v>
      </c>
    </row>
    <row r="6" spans="2:11" ht="45" customHeight="1" x14ac:dyDescent="0.35">
      <c r="B6" s="12" t="str">
        <f>$B$3&amp;"."&amp;[6]Ratings!B27</f>
        <v>1.3</v>
      </c>
      <c r="C6" s="22" t="s">
        <v>35</v>
      </c>
      <c r="D6" s="22" t="s">
        <v>36</v>
      </c>
      <c r="E6" s="12" t="s">
        <v>7</v>
      </c>
      <c r="F6" s="12" t="s">
        <v>13</v>
      </c>
      <c r="G6" s="20" t="s">
        <v>28</v>
      </c>
      <c r="H6" s="22" t="s">
        <v>37</v>
      </c>
      <c r="K6" s="4" t="str">
        <f>IFERROR(VLOOKUP(CONCATENATE(E6,F6),[6]Ratings!$H$3:$I$27,2,FALSE),)</f>
        <v>Orange</v>
      </c>
    </row>
    <row r="7" spans="2:11" ht="48" customHeight="1" x14ac:dyDescent="0.35">
      <c r="B7" s="12" t="str">
        <f>$B$3&amp;"."&amp;[6]Ratings!B28</f>
        <v>1.4</v>
      </c>
      <c r="C7" s="22" t="s">
        <v>38</v>
      </c>
      <c r="D7" s="22" t="s">
        <v>278</v>
      </c>
      <c r="E7" s="12" t="s">
        <v>6</v>
      </c>
      <c r="F7" s="12" t="s">
        <v>13</v>
      </c>
      <c r="G7" s="20" t="s">
        <v>28</v>
      </c>
      <c r="H7" s="22" t="s">
        <v>279</v>
      </c>
      <c r="K7" s="4" t="str">
        <f>IFERROR(VLOOKUP(CONCATENATE(E7,F7),[6]Ratings!$H$3:$I$27,2,FALSE),)</f>
        <v>Orange</v>
      </c>
    </row>
    <row r="8" spans="2:11" x14ac:dyDescent="0.35">
      <c r="B8" s="11">
        <v>2</v>
      </c>
      <c r="C8" s="34" t="s">
        <v>23</v>
      </c>
      <c r="D8" s="35"/>
      <c r="E8" s="35"/>
      <c r="F8" s="35"/>
      <c r="G8" s="35"/>
      <c r="H8" s="36"/>
      <c r="K8" s="4">
        <f>IFERROR(VLOOKUP(CONCATENATE(E8,F8),[6]Ratings!$H$3:$I$27,2,FALSE),)</f>
        <v>0</v>
      </c>
    </row>
    <row r="9" spans="2:11" ht="104.25" customHeight="1" x14ac:dyDescent="0.35">
      <c r="B9" s="12" t="str">
        <f>$B$8&amp;"."&amp;[6]Ratings!B25</f>
        <v>2.1</v>
      </c>
      <c r="C9" s="22" t="s">
        <v>280</v>
      </c>
      <c r="D9" s="22" t="s">
        <v>281</v>
      </c>
      <c r="E9" s="12" t="s">
        <v>4</v>
      </c>
      <c r="F9" s="12" t="s">
        <v>13</v>
      </c>
      <c r="G9" s="20" t="s">
        <v>28</v>
      </c>
      <c r="H9" s="22" t="s">
        <v>282</v>
      </c>
      <c r="K9" s="4" t="str">
        <f>IFERROR(VLOOKUP(CONCATENATE(E9,F9),[6]Ratings!$H$3:$I$27,2,FALSE),)</f>
        <v>Yellow</v>
      </c>
    </row>
    <row r="10" spans="2:11" ht="47.25" customHeight="1" x14ac:dyDescent="0.35">
      <c r="B10" s="12" t="str">
        <f>$B$8&amp;"."&amp;[6]Ratings!B26</f>
        <v>2.2</v>
      </c>
      <c r="C10" s="22" t="s">
        <v>39</v>
      </c>
      <c r="D10" s="22" t="s">
        <v>40</v>
      </c>
      <c r="E10" s="12" t="s">
        <v>4</v>
      </c>
      <c r="F10" s="12" t="s">
        <v>14</v>
      </c>
      <c r="G10" s="20" t="s">
        <v>28</v>
      </c>
      <c r="H10" s="22" t="s">
        <v>283</v>
      </c>
      <c r="K10" s="4" t="str">
        <f>IFERROR(VLOOKUP(CONCATENATE(E10,F10),[6]Ratings!$H$3:$I$27,2,FALSE),)</f>
        <v>Orange</v>
      </c>
    </row>
    <row r="11" spans="2:11" ht="52" x14ac:dyDescent="0.35">
      <c r="B11" s="12" t="str">
        <f>$B$8&amp;"."&amp;[6]Ratings!B27</f>
        <v>2.3</v>
      </c>
      <c r="C11" s="22" t="s">
        <v>41</v>
      </c>
      <c r="D11" s="22" t="s">
        <v>42</v>
      </c>
      <c r="E11" s="12" t="s">
        <v>4</v>
      </c>
      <c r="F11" s="12" t="s">
        <v>13</v>
      </c>
      <c r="G11" s="20" t="s">
        <v>28</v>
      </c>
      <c r="H11" s="22" t="s">
        <v>284</v>
      </c>
      <c r="K11" s="4" t="str">
        <f>IFERROR(VLOOKUP(CONCATENATE(E11,F11),[6]Ratings!$H$3:$I$27,2,FALSE),)</f>
        <v>Yellow</v>
      </c>
    </row>
    <row r="12" spans="2:11" ht="26" x14ac:dyDescent="0.35">
      <c r="B12" s="12" t="str">
        <f>$B$8&amp;"."&amp;[6]Ratings!B28</f>
        <v>2.4</v>
      </c>
      <c r="C12" s="22" t="s">
        <v>43</v>
      </c>
      <c r="D12" s="22" t="s">
        <v>43</v>
      </c>
      <c r="E12" s="12" t="s">
        <v>6</v>
      </c>
      <c r="F12" s="12" t="s">
        <v>13</v>
      </c>
      <c r="G12" s="20" t="s">
        <v>28</v>
      </c>
      <c r="H12" s="22" t="s">
        <v>285</v>
      </c>
      <c r="K12" s="4" t="str">
        <f>IFERROR(VLOOKUP(CONCATENATE(E12,F12),[6]Ratings!$H$3:$I$27,2,FALSE),)</f>
        <v>Orange</v>
      </c>
    </row>
    <row r="13" spans="2:11" x14ac:dyDescent="0.35">
      <c r="B13" s="11">
        <v>3</v>
      </c>
      <c r="C13" s="34" t="s">
        <v>24</v>
      </c>
      <c r="D13" s="35"/>
      <c r="E13" s="35"/>
      <c r="F13" s="35"/>
      <c r="G13" s="35"/>
      <c r="H13" s="36"/>
      <c r="K13" s="4">
        <f>IFERROR(VLOOKUP(CONCATENATE(E13,F13),[6]Ratings!$H$3:$I$27,2,FALSE),)</f>
        <v>0</v>
      </c>
    </row>
    <row r="14" spans="2:11" ht="105.75" customHeight="1" x14ac:dyDescent="0.35">
      <c r="B14" s="12" t="str">
        <f>$B$13&amp;"."&amp;[6]Ratings!B25</f>
        <v>3.1</v>
      </c>
      <c r="C14" s="22" t="s">
        <v>286</v>
      </c>
      <c r="D14" s="22" t="s">
        <v>287</v>
      </c>
      <c r="E14" s="12" t="s">
        <v>4</v>
      </c>
      <c r="F14" s="12" t="s">
        <v>15</v>
      </c>
      <c r="G14" s="20" t="s">
        <v>28</v>
      </c>
      <c r="H14" s="14" t="s">
        <v>288</v>
      </c>
      <c r="K14" s="4" t="str">
        <f>IFERROR(VLOOKUP(CONCATENATE(E14,F14),[6]Ratings!$H$3:$I$27,2,FALSE),)</f>
        <v>Orange</v>
      </c>
    </row>
    <row r="15" spans="2:11" ht="44.25" customHeight="1" x14ac:dyDescent="0.35">
      <c r="B15" s="12" t="str">
        <f>$B$13&amp;"."&amp;[6]Ratings!B26</f>
        <v>3.2</v>
      </c>
      <c r="C15" s="22" t="s">
        <v>44</v>
      </c>
      <c r="D15" s="22" t="s">
        <v>45</v>
      </c>
      <c r="E15" s="12" t="s">
        <v>4</v>
      </c>
      <c r="F15" s="12" t="s">
        <v>14</v>
      </c>
      <c r="G15" s="20" t="s">
        <v>28</v>
      </c>
      <c r="H15" s="14" t="s">
        <v>46</v>
      </c>
      <c r="K15" s="4" t="str">
        <f>IFERROR(VLOOKUP(CONCATENATE(E15,F15),[6]Ratings!$H$3:$I$27,2,FALSE),)</f>
        <v>Orange</v>
      </c>
    </row>
    <row r="16" spans="2:11" ht="31.5" customHeight="1" x14ac:dyDescent="0.35">
      <c r="B16" s="12" t="str">
        <f>$B$13&amp;"."&amp;[6]Ratings!B27</f>
        <v>3.3</v>
      </c>
      <c r="C16" s="22" t="s">
        <v>47</v>
      </c>
      <c r="D16" s="22" t="s">
        <v>359</v>
      </c>
      <c r="E16" s="12" t="s">
        <v>4</v>
      </c>
      <c r="F16" s="12" t="s">
        <v>13</v>
      </c>
      <c r="G16" s="20" t="s">
        <v>28</v>
      </c>
      <c r="H16" s="14" t="s">
        <v>289</v>
      </c>
      <c r="K16" s="4" t="str">
        <f>IFERROR(VLOOKUP(CONCATENATE(E16,F16),[6]Ratings!$H$3:$I$27,2,FALSE),)</f>
        <v>Yellow</v>
      </c>
    </row>
    <row r="17" spans="2:11" ht="30" customHeight="1" x14ac:dyDescent="0.35">
      <c r="B17" s="12" t="str">
        <f>$B$13&amp;"."&amp;[6]Ratings!B28</f>
        <v>3.4</v>
      </c>
      <c r="C17" s="22" t="s">
        <v>341</v>
      </c>
      <c r="D17" s="22" t="s">
        <v>290</v>
      </c>
      <c r="E17" s="12" t="s">
        <v>6</v>
      </c>
      <c r="F17" s="12" t="s">
        <v>14</v>
      </c>
      <c r="G17" s="20" t="s">
        <v>28</v>
      </c>
      <c r="H17" s="14" t="s">
        <v>291</v>
      </c>
      <c r="K17" s="4" t="str">
        <f>IFERROR(VLOOKUP(CONCATENATE(E17,F17),[6]Ratings!$H$3:$I$27,2,FALSE),)</f>
        <v>Orange</v>
      </c>
    </row>
    <row r="18" spans="2:11" ht="52" x14ac:dyDescent="0.35">
      <c r="B18" s="12" t="str">
        <f>$B$13&amp;"."&amp;[6]Ratings!B29</f>
        <v>3.5</v>
      </c>
      <c r="C18" s="22" t="s">
        <v>48</v>
      </c>
      <c r="D18" s="22" t="s">
        <v>221</v>
      </c>
      <c r="E18" s="12" t="s">
        <v>6</v>
      </c>
      <c r="F18" s="12" t="s">
        <v>13</v>
      </c>
      <c r="G18" s="20" t="s">
        <v>28</v>
      </c>
      <c r="H18" s="14" t="s">
        <v>292</v>
      </c>
      <c r="K18" s="4" t="str">
        <f>IFERROR(VLOOKUP(CONCATENATE(E18,F18),[6]Ratings!$H$3:$I$27,2,FALSE),)</f>
        <v>Orange</v>
      </c>
    </row>
    <row r="19" spans="2:11" x14ac:dyDescent="0.35">
      <c r="B19" s="11">
        <v>4</v>
      </c>
      <c r="C19" s="34" t="s">
        <v>25</v>
      </c>
      <c r="D19" s="35"/>
      <c r="E19" s="35"/>
      <c r="F19" s="35"/>
      <c r="G19" s="35"/>
      <c r="H19" s="36"/>
      <c r="K19" s="4">
        <f>IFERROR(VLOOKUP(CONCATENATE(E19,F19),[6]Ratings!$H$3:$I$27,2,FALSE),)</f>
        <v>0</v>
      </c>
    </row>
    <row r="20" spans="2:11" ht="64.5" customHeight="1" x14ac:dyDescent="0.35">
      <c r="B20" s="12" t="str">
        <f>$B$19&amp;"."&amp;[6]Ratings!B25</f>
        <v>4.1</v>
      </c>
      <c r="C20" s="22" t="s">
        <v>293</v>
      </c>
      <c r="D20" s="22" t="s">
        <v>49</v>
      </c>
      <c r="E20" s="12" t="s">
        <v>4</v>
      </c>
      <c r="F20" s="12" t="s">
        <v>13</v>
      </c>
      <c r="G20" s="20" t="s">
        <v>28</v>
      </c>
      <c r="H20" s="14" t="s">
        <v>274</v>
      </c>
      <c r="K20" s="4" t="str">
        <f>IFERROR(VLOOKUP(CONCATENATE(E20,F20),[6]Ratings!$H$3:$I$27,2,FALSE),)</f>
        <v>Yellow</v>
      </c>
    </row>
    <row r="21" spans="2:11" ht="39" x14ac:dyDescent="0.35">
      <c r="B21" s="12" t="str">
        <f>$B$19&amp;"."&amp;[6]Ratings!B26</f>
        <v>4.2</v>
      </c>
      <c r="C21" s="22" t="s">
        <v>50</v>
      </c>
      <c r="D21" s="22" t="s">
        <v>294</v>
      </c>
      <c r="E21" s="12" t="s">
        <v>4</v>
      </c>
      <c r="F21" s="12" t="s">
        <v>13</v>
      </c>
      <c r="G21" s="20" t="s">
        <v>28</v>
      </c>
      <c r="H21" s="14" t="s">
        <v>295</v>
      </c>
      <c r="K21" s="4" t="str">
        <f>IFERROR(VLOOKUP(CONCATENATE(E21,F21),[6]Ratings!$H$3:$I$27,2,FALSE),)</f>
        <v>Yellow</v>
      </c>
    </row>
  </sheetData>
  <mergeCells count="4">
    <mergeCell ref="C3:H3"/>
    <mergeCell ref="C8:H8"/>
    <mergeCell ref="C13:H13"/>
    <mergeCell ref="C19:H19"/>
  </mergeCells>
  <conditionalFormatting sqref="B2:B11 B13:B1048576">
    <cfRule type="expression" dxfId="100" priority="9">
      <formula>K2="Red"</formula>
    </cfRule>
    <cfRule type="expression" dxfId="99" priority="10">
      <formula>K2="Orange"</formula>
    </cfRule>
    <cfRule type="expression" dxfId="98" priority="11">
      <formula>K2="Yellow"</formula>
    </cfRule>
    <cfRule type="expression" dxfId="97" priority="12">
      <formula>K2="Green"</formula>
    </cfRule>
  </conditionalFormatting>
  <conditionalFormatting sqref="B1">
    <cfRule type="expression" dxfId="96" priority="5">
      <formula>K1="Red"</formula>
    </cfRule>
    <cfRule type="expression" dxfId="95" priority="6">
      <formula>K1="Orange"</formula>
    </cfRule>
    <cfRule type="expression" dxfId="94" priority="7">
      <formula>K1="Yellow"</formula>
    </cfRule>
    <cfRule type="expression" dxfId="93" priority="8">
      <formula>K1="Green"</formula>
    </cfRule>
  </conditionalFormatting>
  <conditionalFormatting sqref="B12">
    <cfRule type="expression" dxfId="92" priority="1">
      <formula>K12="Red"</formula>
    </cfRule>
    <cfRule type="expression" dxfId="91" priority="2">
      <formula>K12="Orange"</formula>
    </cfRule>
    <cfRule type="expression" dxfId="90" priority="3">
      <formula>K12="Yellow"</formula>
    </cfRule>
    <cfRule type="expression" dxfId="89" priority="4">
      <formula>K12="Green"</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7978EC024D7B4F94E32C826E2259A6" ma:contentTypeVersion="12" ma:contentTypeDescription="Create a new document." ma:contentTypeScope="" ma:versionID="b9a740f3a5abfb08293ee90b2777ec7a">
  <xsd:schema xmlns:xsd="http://www.w3.org/2001/XMLSchema" xmlns:xs="http://www.w3.org/2001/XMLSchema" xmlns:p="http://schemas.microsoft.com/office/2006/metadata/properties" xmlns:ns2="71bbbc2d-6cad-4bae-a9b6-f7a9cc8f121c" xmlns:ns3="2ce0ca84-8b2a-4181-bf67-340254fafee5" targetNamespace="http://schemas.microsoft.com/office/2006/metadata/properties" ma:root="true" ma:fieldsID="d8f914d966eaf7f5ea8f57646941b957" ns2:_="" ns3:_="">
    <xsd:import namespace="71bbbc2d-6cad-4bae-a9b6-f7a9cc8f121c"/>
    <xsd:import namespace="2ce0ca84-8b2a-4181-bf67-340254fafe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bbc2d-6cad-4bae-a9b6-f7a9cc8f12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8b044b7-0085-4a7e-81e3-b64056e7991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e0ca84-8b2a-4181-bf67-340254fafee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7fc4e0-6085-425f-8fb6-e669b9eba4b1}" ma:internalName="TaxCatchAll" ma:showField="CatchAllData" ma:web="2ce0ca84-8b2a-4181-bf67-340254fafe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ce0ca84-8b2a-4181-bf67-340254fafee5" xsi:nil="true"/>
    <lcf76f155ced4ddcb4097134ff3c332f xmlns="71bbbc2d-6cad-4bae-a9b6-f7a9cc8f12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669906-C191-4C1C-BA6C-19E1BC261BF4}"/>
</file>

<file path=customXml/itemProps2.xml><?xml version="1.0" encoding="utf-8"?>
<ds:datastoreItem xmlns:ds="http://schemas.openxmlformats.org/officeDocument/2006/customXml" ds:itemID="{DCADDCD4-1676-409D-B86E-30444218262C}"/>
</file>

<file path=customXml/itemProps3.xml><?xml version="1.0" encoding="utf-8"?>
<ds:datastoreItem xmlns:ds="http://schemas.openxmlformats.org/officeDocument/2006/customXml" ds:itemID="{FA60D1AC-730F-424B-8C48-AA72AF9B454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Risk empty format</vt:lpstr>
      <vt:lpstr>Overall</vt:lpstr>
      <vt:lpstr>Mali</vt:lpstr>
      <vt:lpstr>Burkina Faso</vt:lpstr>
      <vt:lpstr>Niger</vt:lpstr>
      <vt:lpstr>Senegal</vt:lpstr>
      <vt:lpstr>Tunisia</vt:lpstr>
      <vt:lpstr>Jordan</vt:lpstr>
      <vt:lpstr>Iraq</vt:lpstr>
      <vt:lpstr>Uganda</vt:lpstr>
      <vt:lpstr>Ethiopia</vt:lpstr>
      <vt:lpstr>Kenya</vt:lpstr>
      <vt:lpstr>Mozambique</vt:lpstr>
      <vt:lpstr>Guatemala</vt:lpstr>
      <vt:lpstr>Colombia</vt:lpstr>
      <vt:lpstr>Myanmar</vt:lpstr>
      <vt:lpstr>Ratings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 Dijkstra</dc:creator>
  <cp:lastModifiedBy>Antoine Brasset</cp:lastModifiedBy>
  <dcterms:created xsi:type="dcterms:W3CDTF">2019-06-13T09:05:09Z</dcterms:created>
  <dcterms:modified xsi:type="dcterms:W3CDTF">2022-11-16T12:48:39Z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0x010100407978EC024D7B4F94E32C826E2259A6</vt:lpwstr>
  </property>
  <property fmtid="{D5CDD505-2E9C-101B-9397-08002B2CF9AE}" pid="3" name="Order">
    <vt:r8>1040600</vt:r8>
  </property>
</Properties>
</file>